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Лист2" sheetId="1" r:id="rId1"/>
  </sheets>
  <definedNames>
    <definedName name="_xlnm.Print_Area" localSheetId="0">'Лист2'!$B$1:$O$292</definedName>
  </definedNames>
  <calcPr fullCalcOnLoad="1"/>
</workbook>
</file>

<file path=xl/sharedStrings.xml><?xml version="1.0" encoding="utf-8"?>
<sst xmlns="http://schemas.openxmlformats.org/spreadsheetml/2006/main" count="684" uniqueCount="512">
  <si>
    <t>Надання фінансової підтримки громадським організаціям інвалідів і ветеранів, діяльність яких має соціальну спрямованість (міська комплексна програма "Турбота" на 2013 - 2017 роки - "Товариство інвалідів", "Рада ветеранів", "Міська спілка воїнів-інтернаціоналістів, спілка "Союз-Чорнобиль")</t>
  </si>
  <si>
    <t>Інші культурно-освітні заклади та заходи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</si>
  <si>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(програма розвитку культури, фізичної культури, спорту та туризму в м.Южноукраїнську на 2010-2013 роки)</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</si>
  <si>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</si>
  <si>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1118390</t>
  </si>
  <si>
    <t xml:space="preserve">Субвенція з місцевого бюджету державному бюджету на виконання програм соціально - економічного та культурного розвитку регіонів (міська комплексна програма "Молоде покоління м. Южноукраїнська" на 2012-2015 роки ) </t>
  </si>
  <si>
    <t>Утримання центрів "Спорт для всіх" та проведення заходів з фізичної культури (програма розвитку культури, фізичної культури, спорту та туризму в м.Южноукраїнську на 2010-2013 роки )</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</si>
  <si>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</si>
  <si>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Додаток №3.1</t>
  </si>
  <si>
    <t>Проведення виборів народних депутатів Верховної Ради Автономної Республіки Крим, місцевих рад та сільських, селищних, міських голів  (вибори міського голови)</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</si>
  <si>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</si>
  <si>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1517420</t>
  </si>
  <si>
    <t xml:space="preserve">Програма стабілізації та соціально-економічного розвитку територій (міська програма реформування медичного обслуговування населення м. Южноукраїнська на 2013-2015 р.) </t>
  </si>
  <si>
    <t>Здійснення централізованого господарського обслуговування</t>
  </si>
  <si>
    <t>4019230</t>
  </si>
  <si>
    <t>Цільовий фонд Южноукраїнської міської ради для вирішення питань розвитку  інфраструктури міста (міська програма реформування і розвитку житлово - комунального господарства міста Южноукраїнська на 2010 - 2014 роки)</t>
  </si>
  <si>
    <t>1019230</t>
  </si>
  <si>
    <t>Капітальний ремонт житлового фонду місцевих органів влади (Міська програма капітального будівництва об'єктів житлово-комунального господарства та соціальної інфраструктури м. Южноукраїнська на 2011-2015 рр. в частині видатків закінчення робіт по улаштуванню пандусу за адресою Цвіточний, 7 кв 76)</t>
  </si>
  <si>
    <t>240344</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</si>
  <si>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запобігання та лікування серцево-судинних та судинно-мозгових захворювань на 2012-2014 роки - придбання медичного обладнання) </t>
  </si>
  <si>
    <t>Культура і мистецтво (утримання закладів культури)</t>
  </si>
  <si>
    <t>120400</t>
  </si>
  <si>
    <t>Цільові фонди</t>
  </si>
  <si>
    <t>Управління освіти Южноукраїнської міської ради</t>
  </si>
  <si>
    <t>130106</t>
  </si>
  <si>
    <t>Фізична культура і спорт</t>
  </si>
  <si>
    <t>130000</t>
  </si>
  <si>
    <t xml:space="preserve">Видатки загального фонду </t>
  </si>
  <si>
    <t>із них:</t>
  </si>
  <si>
    <t>споживання</t>
  </si>
  <si>
    <t xml:space="preserve"> - утримання виконавчого комітету Южноукраїнської міської ради)</t>
  </si>
  <si>
    <t xml:space="preserve"> - міська програма інформаційної підтримки розвитку міста та діяльності органів місцевого самоврядування на 2013-2016 роки)</t>
  </si>
  <si>
    <t>Програма стабілізації та соціально-економічного розвитку території ,                                                                   в тому числі:</t>
  </si>
  <si>
    <t xml:space="preserve"> - програма реформування і розвитку житлово-комунального господарства міста Южноукраїнська на 2010-2014 роки</t>
  </si>
  <si>
    <t xml:space="preserve"> - програма приватизації об"єктів, що належать до комунальної власності територіальної громади міста Южноукраїнська на 2012-2014 роки </t>
  </si>
  <si>
    <t>Дошкільна освiта ,                                                             в тому числі:</t>
  </si>
  <si>
    <t>розвитку</t>
  </si>
  <si>
    <t>оплата праці</t>
  </si>
  <si>
    <t>комунальні послуги та енергоносії</t>
  </si>
  <si>
    <t xml:space="preserve">Компенсаційні виплати на пільговий проїзд автомобільним транспортом окремим категоріям громадян (за рахунок субвенції з державного бюджету) </t>
  </si>
  <si>
    <t xml:space="preserve">Компенсаційні виплати за пільговий проїзд окремим категоріям громадян на залізничному транспорті (за рахунок субвенції з державного бюджету) </t>
  </si>
  <si>
    <t>Всього</t>
  </si>
  <si>
    <t>Разом</t>
  </si>
  <si>
    <t>010116</t>
  </si>
  <si>
    <t>250404</t>
  </si>
  <si>
    <t>070000</t>
  </si>
  <si>
    <t>130107</t>
  </si>
  <si>
    <t>091204</t>
  </si>
  <si>
    <t>170102</t>
  </si>
  <si>
    <t>090405</t>
  </si>
  <si>
    <t>090401</t>
  </si>
  <si>
    <t>090413</t>
  </si>
  <si>
    <t>091209</t>
  </si>
  <si>
    <t>091207</t>
  </si>
  <si>
    <t>1011801</t>
  </si>
  <si>
    <t>0318601</t>
  </si>
  <si>
    <t>6717101</t>
  </si>
  <si>
    <t>090412</t>
  </si>
  <si>
    <t>090416</t>
  </si>
  <si>
    <t>091300</t>
  </si>
  <si>
    <t>100102</t>
  </si>
  <si>
    <t>100203</t>
  </si>
  <si>
    <t>170703</t>
  </si>
  <si>
    <t>210110</t>
  </si>
  <si>
    <t>150101</t>
  </si>
  <si>
    <t>Всього видатки бюджету міста:</t>
  </si>
  <si>
    <t>250301</t>
  </si>
  <si>
    <t>тис.грн.</t>
  </si>
  <si>
    <t>090209</t>
  </si>
  <si>
    <t>Видатки спеціального фонду</t>
  </si>
  <si>
    <t>090201</t>
  </si>
  <si>
    <t>090202</t>
  </si>
  <si>
    <t>090203</t>
  </si>
  <si>
    <t>090204</t>
  </si>
  <si>
    <t>090302</t>
  </si>
  <si>
    <t>090303</t>
  </si>
  <si>
    <t>090304</t>
  </si>
  <si>
    <t>090305</t>
  </si>
  <si>
    <t>090306</t>
  </si>
  <si>
    <t>070101</t>
  </si>
  <si>
    <t>070201</t>
  </si>
  <si>
    <t>070401</t>
  </si>
  <si>
    <t>070802</t>
  </si>
  <si>
    <t>070804</t>
  </si>
  <si>
    <t>070805</t>
  </si>
  <si>
    <t>070806</t>
  </si>
  <si>
    <t>110201</t>
  </si>
  <si>
    <t>110205</t>
  </si>
  <si>
    <t>110502</t>
  </si>
  <si>
    <t>090207</t>
  </si>
  <si>
    <t>110202</t>
  </si>
  <si>
    <t>090206</t>
  </si>
  <si>
    <t>180109</t>
  </si>
  <si>
    <t>Інші видатки на соціальний захист населення ( за рахунок субвенції з обласного бюджету)</t>
  </si>
  <si>
    <t>7516150</t>
  </si>
  <si>
    <t>6718390</t>
  </si>
  <si>
    <t>Охорона та раціональне використання природних ресурсів (програма охорони довкілля та раціонального природокористування міста Южноукраїнська на 2011 - 2015 роки)</t>
  </si>
  <si>
    <t xml:space="preserve">Капітальні вкладення (міська програма реформування і розвитку житлово - комунального господарства міста Южноукраїнська на 2010 - 2014 роки в частині придбання в комунальну власність будівлі, розташованої в м.Южноукраїнську за адресою вул.Дружби Народів,35 "в" для розміщення відділу державної реєстарції актів цивільного стану м. Южноукраїнська, в тому числі  10% від початкової вартості  продажу будівлі на аукціоні ) </t>
  </si>
  <si>
    <t>за головними розпорядниками  коштів</t>
  </si>
  <si>
    <t>170302</t>
  </si>
  <si>
    <t>090417</t>
  </si>
  <si>
    <t>070808</t>
  </si>
  <si>
    <t>210105</t>
  </si>
  <si>
    <t>090205</t>
  </si>
  <si>
    <t>090208</t>
  </si>
  <si>
    <t>090307</t>
  </si>
  <si>
    <t>240601</t>
  </si>
  <si>
    <t>110000</t>
  </si>
  <si>
    <t>Культура і мистецтво (всього)</t>
  </si>
  <si>
    <t>Бібліотеки</t>
  </si>
  <si>
    <t>Музеї і виставки</t>
  </si>
  <si>
    <t xml:space="preserve">Код Програмної класифікації
видатків та кредиту-вання
місцевих бюджетів (КПКВК)
</t>
  </si>
  <si>
    <t xml:space="preserve">  Найменування коду тимчасової класифікації видатків та кредитування місцевих бюджетів</t>
  </si>
  <si>
    <t>100202</t>
  </si>
  <si>
    <t>070807</t>
  </si>
  <si>
    <t>100103</t>
  </si>
  <si>
    <t>090212</t>
  </si>
  <si>
    <t>091103</t>
  </si>
  <si>
    <t>бюджет розвитку</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</si>
  <si>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</si>
  <si>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</si>
  <si>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</si>
  <si>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</si>
  <si>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1518390</t>
  </si>
  <si>
    <t>Впровадження засобів обліку витрат та регулювання споживання води та теплової енергії (міська програма реформування і розвитку житлово - комунального господарства міста Южноукраїнська на 2010 - 2014 роки)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</si>
  <si>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</si>
  <si>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</si>
  <si>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(субвенція з державного бюджету)</t>
  </si>
  <si>
    <t xml:space="preserve">Програма стабілізації та соціально-економічного розвитку територій (міська програма реформування і розвитку житлово - комунального господарства міста Южноукраїнська на 2010 - 2014 роки, в частині  видатків по розробці технічної документації із землеустрою щодо складання документів, що посвідчують права комунальної власності земельної ділянки за адресою вул.Паркова, 8 об’єкту незавершеного будівництва "Дитяча лікарня") </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</si>
  <si>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t>
  </si>
  <si>
    <t xml:space="preserve">Субвенція з місцевого бюджету державному бюджету на виконання програм соціально - економічного та культурного розвитку регіонів (міська програма боротьби з онкологічними захворюваннями в м.Южноукраїнську на період до 2016 року - придбання медичного обладнання)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</si>
  <si>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</si>
  <si>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Т.О.Гончарова</t>
  </si>
  <si>
    <t xml:space="preserve">міської ради від              2013 № </t>
  </si>
  <si>
    <t>Уточнений розподіл видатків бюджету міста Южноукраїнська на 2013 рік</t>
  </si>
  <si>
    <t>090700</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</si>
  <si>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 - психологічної реабілітації дітей") (за рахунок субвенції з обласного бюджету)</t>
  </si>
  <si>
    <t xml:space="preserve">Інші видатки на соціальний захист населення (міська програма протидії захворюванню на туберкульоз у 2012 році) </t>
  </si>
  <si>
    <t xml:space="preserve">Інші видатки на соціальний захист населення  (міська програма розвитку донороства крові та її компонентов на 2012-2016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</si>
  <si>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2012-2015 роки) </t>
  </si>
  <si>
    <t>130102</t>
  </si>
  <si>
    <t>Начальник фінансового управління Южноукраїнської міської ради</t>
  </si>
  <si>
    <t>Цільові фонди, утворені Верховною Радою Автономної Республіки Крим, органами місцевого самоврядування і місцевими органами виконавчої влади (цільовий фонд Южноукраїнської міської ради для вирішення питань розвитку інфраструктури міста)</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</si>
  <si>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</si>
  <si>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090406</t>
  </si>
  <si>
    <t>070303</t>
  </si>
  <si>
    <t>091205</t>
  </si>
  <si>
    <t>Цільовий фонд Южноукраїнської міської ради для вирішення питань розвитку інфраструктури міста (поточний ремонт підлоги в приміщені роздягальні середньої групи №3 ДНЗ №2)</t>
  </si>
  <si>
    <t>250344</t>
  </si>
  <si>
    <t>2013110</t>
  </si>
  <si>
    <t>2013111</t>
  </si>
  <si>
    <t>Заклади і заходи з питань дітей та їх соціального захисту</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</si>
  <si>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(субвенція)</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</si>
  <si>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(субвенція)</t>
  </si>
  <si>
    <t>091303</t>
  </si>
  <si>
    <t>091304</t>
  </si>
  <si>
    <t>100201</t>
  </si>
  <si>
    <t>090214</t>
  </si>
  <si>
    <t>100208</t>
  </si>
  <si>
    <t>Цільовий фонд Южноукраїнської міської ради для вирішення питань розвитку інфраструктури міста (поточний ремонт кабінету польської мови)</t>
  </si>
  <si>
    <t>240900</t>
  </si>
  <si>
    <t>Інші видатки (міська програма "Наше місто")</t>
  </si>
  <si>
    <t>Інші культурно-освітні заклади та заходи (Централізована бухгалтерія)</t>
  </si>
  <si>
    <t xml:space="preserve">Освіта </t>
  </si>
  <si>
    <t>Інші видатки на соціальний захист населення (міська комплексна програма "Молоде покоління м. Южноукраїнська" на 2012-2015 роки відшкодування за медикаменти дітям-інвалідам)</t>
  </si>
  <si>
    <t>160101</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</si>
  <si>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</si>
  <si>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</si>
  <si>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</si>
  <si>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</si>
  <si>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</si>
  <si>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Цільовий фонд Южноукраїнської міської ради для вирішення питань розвитку інфраструктури міста (міська програма розвитку освіти в м.Южноукраїнську на 2011 - 2015  роки - придбання та встановлення устаткування доочищення води в загальноосвітних закладах)</t>
  </si>
  <si>
    <t>150110</t>
  </si>
  <si>
    <t>Проведення невідкладних відновлювальних робіт, будівництво та реконструкція загальноосвітніх навчальних закладів</t>
  </si>
  <si>
    <t xml:space="preserve">Цільовий фонд Южноукраїнської міської ради для вирішення питань розвитку  інфраструктури міста (поточний ремонт приміщень комунального закладу "Територіальний центр соціального обслуговування (надання соціальних послуг)"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</si>
  <si>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t>
  </si>
  <si>
    <t>120201</t>
  </si>
  <si>
    <t>Витрати на поховання учасників бойових дій  та інвалідів війни (за рахунок субвенції з обласного бюджету)</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</si>
  <si>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підприємництва в м.Южноукраїнську на 2011-2012 роки) </t>
  </si>
  <si>
    <t>Соціальні програми і заходи державних органів у справах молоді (міська комплексна програма "Молоде покоління м. Южноукраїнська" на 2012-2015 роки )</t>
  </si>
  <si>
    <t>0318021</t>
  </si>
  <si>
    <t>0318020</t>
  </si>
  <si>
    <t>Проведення виборів та референдумів</t>
  </si>
  <si>
    <t xml:space="preserve"> -міська програма реформування і розвитку житлово - комунального господарства міста Южноукраїнська на 2010 - 2014 роки </t>
  </si>
  <si>
    <t xml:space="preserve"> - за рахунок субвенції з державного бюджету</t>
  </si>
  <si>
    <t>Керівництво і управління у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</si>
  <si>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сфері  у містах республіканського Автономного Республіки Крим та обласного значення,                                                                                  в тому числі:</t>
  </si>
  <si>
    <t>Керівництво і управління у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</si>
  <si>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</si>
  <si>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</si>
  <si>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</si>
  <si>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Керівництво і управління у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мобілізаційної роботи та взаємодії з правоохоронними органами Южноукраїнської міської ради)</t>
  </si>
  <si>
    <t>Керівництво і управління у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</si>
  <si>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Реалізація заходів щодо інвестиційного розвитку території ,                                                                                                   в тому числі</t>
  </si>
  <si>
    <t xml:space="preserve"> - по міським програмам</t>
  </si>
  <si>
    <t>4016100</t>
  </si>
  <si>
    <t>Утримання та навчально-тренувальна робота комунальних дитячо-юнацьких спортивних шкіл,                                                                     в тому числі:</t>
  </si>
  <si>
    <t xml:space="preserve"> - утримання та навчально-тренувальна робота комунальних дитячо-юнацьких спортивних шкіл</t>
  </si>
  <si>
    <t>Субвенція з місцевого бюджету державному бюджету на виконання програм соціально-економічного та культурного розвитку регіонів ,                                         в тому числі:</t>
  </si>
  <si>
    <t xml:space="preserve"> - по міській програмі "Профілактика злочинності та вдосконалення системи захисту конституційних прав і свобод громадян"</t>
  </si>
  <si>
    <t xml:space="preserve"> - по міській цільовій програмі цивільного захисту міста Южноукраїнська Миколаївської області на 2009 - 2013 роки -</t>
  </si>
  <si>
    <t>Періодичні видання (газети та журнали) (міська програма підтримка газети  міської ради "Контакт" на 2009 - 2014 роки)</t>
  </si>
  <si>
    <t xml:space="preserve">Програма стабілізації та соціально-економічного розвитку територій (міська програма "Приватизація об’єктів, що належать до комунальної власності територіальної громади міста Южноукраїнська на 2009 - 2012 роки", в частині видатків, пов’язаних із підготовкою об’єктів до приватизації) </t>
  </si>
  <si>
    <t>Інші видатки на соціальний захист населення (міська програма забезпечення профілактики ВІЛ-інфекції, лікування, догляду та підтримки ВІЛ-інфікованих і хворих на СНІД на 2012-2016 роки )</t>
  </si>
  <si>
    <t>Інші видатки на соціальний захист населення (міська програма "Цукровий діабет" на 2012-2013 роки )</t>
  </si>
  <si>
    <t>Інші видатки на соціальний захист населення (міська програма запобігання та лікування серцево-судинних та судинно-мозгових захворювань на 2012-2014 роки )</t>
  </si>
  <si>
    <t>Інші видатки на соціальний захист населення (міська програма боротьби з онкологічними захворюваннями в м.Южноукраїнську на пероід до 2016 року  )</t>
  </si>
  <si>
    <t xml:space="preserve">Інші видатки на соціальний захист населення </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</si>
  <si>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2009 - 2013 роки)</t>
  </si>
  <si>
    <t>180404</t>
  </si>
  <si>
    <t>Видатки на запобігання  та ліквідацію надзвичайних ситуацій та наслідків стихійного лиха  (субвенція з обласного бюджету на проведення невідкладних (першочергових) робіт з ліквідації надзвичайної ситуації, що сталася 18 листопада 2011 року в м.Южноукраїнську)</t>
  </si>
  <si>
    <t>100101</t>
  </si>
  <si>
    <t>Програма стабілізації та соціально-економічного розвитку території ( міська програма розвитку земельних відносин на 2011 - 2015 роки в частині створення (оновлення) планово-картографічного матеріалу міста)</t>
  </si>
  <si>
    <t>В тому числі видатки за рахунок субвенцій з державного бюджету</t>
  </si>
  <si>
    <t>090308</t>
  </si>
  <si>
    <t>Встановлення телефонів інвалідам І та ІІ груп (за рахунок субвенції з обласного бюджету)</t>
  </si>
  <si>
    <t>Код тимчасової класифікації видатків та кредитування місцевих бюджетів</t>
  </si>
  <si>
    <t>090215</t>
  </si>
  <si>
    <t xml:space="preserve">Освіта (утримання закладів освіти) </t>
  </si>
  <si>
    <t>240000</t>
  </si>
  <si>
    <t>061007</t>
  </si>
  <si>
    <t>10</t>
  </si>
  <si>
    <t>Водопровідно-каналізаційне господарство (міська програма реформування і розвитку житлово - комунального господарства міста Южноукраїнська на 2010 - 2014 роки в частині капітального ремонту напірної господарсько - побутової каналізації)</t>
  </si>
  <si>
    <t xml:space="preserve">до рішення Южноукраїнської       </t>
  </si>
  <si>
    <t>091101</t>
  </si>
  <si>
    <t>250203</t>
  </si>
  <si>
    <t>0316310</t>
  </si>
  <si>
    <t>0317310</t>
  </si>
  <si>
    <t>0317420</t>
  </si>
  <si>
    <t>0317440</t>
  </si>
  <si>
    <t>1011010</t>
  </si>
  <si>
    <t>1</t>
  </si>
  <si>
    <t>14=7+4</t>
  </si>
  <si>
    <t>Дошкільна освiта</t>
  </si>
  <si>
    <t>1011020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</si>
  <si>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</si>
  <si>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</si>
  <si>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</si>
  <si>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</si>
  <si>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</si>
  <si>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</si>
  <si>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1511070</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</si>
  <si>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(за рахунок субвенції з державного бюджету) </t>
  </si>
  <si>
    <t>1513011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</si>
  <si>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(за рахунок субвенції з державного бюджету) </t>
  </si>
  <si>
    <t>1513021</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</si>
  <si>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(за рахунок субвенції з державного бюджету) </t>
  </si>
  <si>
    <t>1513031</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</si>
  <si>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 </t>
  </si>
  <si>
    <t>1513012</t>
  </si>
  <si>
    <t>Фінансова підтримка об'єктів житлово - комунального господарства (міська програма реформування і розвитку житлово - комунального господарства міста Южноукраїнська на 2010 - 2014 роки )</t>
  </si>
  <si>
    <t>250380</t>
  </si>
  <si>
    <t>Субвенція з міського бюджету обласному бюджету на погашення кредиторської заборгованості по комунальному закладу "Центр соціально-психологічної реабілітації дітей" Южноукраїнської міської ради, яка утворилася станом на 1 січня 2013 року</t>
  </si>
  <si>
    <t>2419230</t>
  </si>
  <si>
    <t xml:space="preserve">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 (за рахунок субвенції з державного бюджету) </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</si>
  <si>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</si>
  <si>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(за рахунок субвенції з державного бюджету) </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</si>
  <si>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</si>
  <si>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</si>
  <si>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</si>
  <si>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(за рахунок субвенції з державного бюджету) </t>
  </si>
  <si>
    <t>1513033</t>
  </si>
  <si>
    <t xml:space="preserve">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(за рахунок субвенції з державного бюджету) </t>
  </si>
  <si>
    <t>1513050</t>
  </si>
  <si>
    <t>Пільгове медичне обслуговування осіб, які постраждали внаслідок Чорнобильської катастрофи  (за рахунок субвенції з обласного бюджету)</t>
  </si>
  <si>
    <t>1513034</t>
  </si>
  <si>
    <t xml:space="preserve">Надання пільг окремим категоріям громадян з послуг зв’язку (за рахунок субвенції з державного бюджету) </t>
  </si>
  <si>
    <t>1513015</t>
  </si>
  <si>
    <t xml:space="preserve">Надання пільг багатодітним сім’ям на житлово-комунальні послуги  (за рахунок субвенції з державного бюджету) </t>
  </si>
  <si>
    <t>1513041</t>
  </si>
  <si>
    <t xml:space="preserve">Надання допомоги у зв’язку з вагітністю і пологами  (за рахунок субвенції з державного бюджету) </t>
  </si>
  <si>
    <t>1513042</t>
  </si>
  <si>
    <t xml:space="preserve">Надання допомоги на догляд за дитиною віком до трьох років (за рахунок субвенції з державного бюджету) </t>
  </si>
  <si>
    <t>1513043</t>
  </si>
  <si>
    <t xml:space="preserve">Надання допомоги при народженні дитини (за рахунок субвенції з державного бюджету) </t>
  </si>
  <si>
    <t>1513044</t>
  </si>
  <si>
    <t xml:space="preserve">Надання допомоги на дітей, над якими встановлено опіку чи піклування (за рахунок субвенції з державного бюджету) </t>
  </si>
  <si>
    <t>1513045</t>
  </si>
  <si>
    <t xml:space="preserve">Надання допомоги на дітей одиноким матерям  (за рахунок субвенції з державного бюджету)  </t>
  </si>
  <si>
    <t>1513046</t>
  </si>
  <si>
    <t xml:space="preserve">Надання тимчасової державної допомоги дітям  (за рахунок субвенції з державного бюджету) </t>
  </si>
  <si>
    <t>1513047</t>
  </si>
  <si>
    <t xml:space="preserve">Надання допомоги при усиновленні дитини (за рахунок субвенції з державного бюджету)  </t>
  </si>
  <si>
    <t>1513048</t>
  </si>
  <si>
    <t xml:space="preserve">Надання державної соціальної допомоги малозабезпеченим сім’ям  (за рахунок субвенції з державного бюджету) </t>
  </si>
  <si>
    <t>1513016</t>
  </si>
  <si>
    <t xml:space="preserve">Надання субсидій населенню для відшкодування витрат на оплату житлово-комунальних послуг (за рахунок субвенції з державного бюджету) </t>
  </si>
  <si>
    <t>1513026</t>
  </si>
  <si>
    <t xml:space="preserve">Надання субсидій населенню для відшкодування витрат на придбання твердого та рідкого пічного побутового палива і скрапленого газу  (за рахунок субвенції з державного бюджету) </t>
  </si>
  <si>
    <t>Інші видатки на соціальний захист населення (міська комплексна програма "Турбота" на 2013 - 2017 роки)</t>
  </si>
  <si>
    <t>1513402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</si>
  <si>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t>
  </si>
  <si>
    <t>7518470</t>
  </si>
  <si>
    <t>2018800</t>
  </si>
  <si>
    <t>Інші субвенції</t>
  </si>
  <si>
    <t>2018801</t>
  </si>
  <si>
    <t>1513406</t>
  </si>
  <si>
    <t>1513407</t>
  </si>
  <si>
    <t>1513408</t>
  </si>
  <si>
    <t>1513409</t>
  </si>
  <si>
    <t>1513410</t>
  </si>
  <si>
    <t>1513412</t>
  </si>
  <si>
    <t>Інші видатки на соціальний захист населення  (міська програма протидії захворюванню на туберкульоз у 2013 році)</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</si>
  <si>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</si>
  <si>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</si>
  <si>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</si>
  <si>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</si>
  <si>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</si>
  <si>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</si>
  <si>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</si>
  <si>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</si>
  <si>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освітні програми </t>
  </si>
  <si>
    <t xml:space="preserve">Інші правоохоронні заходи і заклади </t>
  </si>
  <si>
    <t>2414810</t>
  </si>
  <si>
    <t>2414820</t>
  </si>
  <si>
    <t>1513401</t>
  </si>
  <si>
    <t>1513403</t>
  </si>
  <si>
    <t>1513404</t>
  </si>
  <si>
    <t>1513405</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</si>
  <si>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</si>
  <si>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</si>
  <si>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 - за рахунок субвенції з державного бюджету місцевим бюджетам на здійснення заходів щодо соціально-економічного розвитку окремих територій</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</si>
  <si>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(міська комплексна програма "Турбота" на 2013 - 2017 роки)</t>
  </si>
  <si>
    <t>1513190</t>
  </si>
  <si>
    <t>1513202</t>
  </si>
  <si>
    <t xml:space="preserve">Надання державної соціальної допомоги інвалідам з дитинства та дітям-інвалідам  (за рахунок субвенції з державного бюджету) </t>
  </si>
  <si>
    <t>1513049</t>
  </si>
  <si>
    <t>Компенсаційні виплати інвалідам на бензин, ремонт, технічне обслуговування  автомобілів, мотоколясок і на транспортне обслуговування  (за рахунок субвенції з обласного бюджету)</t>
  </si>
  <si>
    <t>1513182</t>
  </si>
  <si>
    <t>1513183</t>
  </si>
  <si>
    <t>Компенсаційні виплати на пільговий проїзд автомобільним транспортом окремим категоріям громадян (дачні перевезення - міська комплексна програма "Турбота" на 2013 - 2017 роки)</t>
  </si>
  <si>
    <t>1513035</t>
  </si>
  <si>
    <t>1513037</t>
  </si>
  <si>
    <t>4016010</t>
  </si>
  <si>
    <t xml:space="preserve">Забезпечення надійного та безперебійного функціонування житлово-експлуатаційного господарства </t>
  </si>
  <si>
    <t>4016021</t>
  </si>
  <si>
    <t>4016030</t>
  </si>
  <si>
    <t>4016051</t>
  </si>
  <si>
    <t>Забезпечення функціонування водопровідно-каналізаційного господарства</t>
  </si>
  <si>
    <t>4016052</t>
  </si>
  <si>
    <t>4016060</t>
  </si>
  <si>
    <t>4016310</t>
  </si>
  <si>
    <t>4016330</t>
  </si>
  <si>
    <t>4016650</t>
  </si>
  <si>
    <t>4017420</t>
  </si>
  <si>
    <t>Дошкільна освiта (за рахунок субвенції з державного бюджету)</t>
  </si>
  <si>
    <t>Дошкільна освiта (за рахунок субвенції с обласного бюджету)</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</si>
  <si>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</si>
  <si>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колегіумами(за рахуное субвенції з державного бюджету)</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</si>
  <si>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колегіумами(за рахунок субвенції з обласного бюджету)</t>
  </si>
  <si>
    <t>Компенсаційні виплати на пільговий проїзд автомобільним транспортом окремим категоріям громадян, в тому числі:</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</si>
  <si>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</si>
  <si>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Утримання комунального закладу "Територіальний центр соціального обслуговування (надання соціальних послуг) м.Южноукраїнськ</t>
  </si>
  <si>
    <t>Утримання комунального закладу "Територіальний центр соціального обслуговування (надання соціальних послуг) м.Южноукраїнськ)(за рахунок субвенції с державного бюджету)</t>
  </si>
  <si>
    <t>Інші видатки  на соціальний захист ветеранів війни та праці  ,                                                                                                     в тому числі:</t>
  </si>
  <si>
    <t xml:space="preserve"> - міська комплексна програма "Турбота" на 2013 - 2017 роки </t>
  </si>
  <si>
    <t xml:space="preserve"> - інші видатки  на соціальний захист ветеранів війни та праці  (за рахунок субвенції з обласного бюджету)</t>
  </si>
  <si>
    <t>Субвенція з місцевого бюджету державному бюджету на виконання програм соціально - економічного та культурного розвитку регіонів,                                                в  тому числі:</t>
  </si>
  <si>
    <t xml:space="preserve"> - міська програма імунопрофілактики та захисту населення міста Южноукраїнська від інфекційних хвороб на 2012 - 2015 роки) </t>
  </si>
  <si>
    <t xml:space="preserve"> - міська програма протидії захворюванню на туберкульоз у 2012 році </t>
  </si>
  <si>
    <t xml:space="preserve"> - міська комплексна програма "Молоде покоління м. Южноукраїнська" на 2012-2015 роки</t>
  </si>
  <si>
    <t>Надання допомоги на догляд за інвалідом І чи ІІ групи внаслідок психічного розладу - всього,                              в тому числі:</t>
  </si>
  <si>
    <t>за рахунок субвенції з обласного бюджету</t>
  </si>
  <si>
    <t>за рахунок додаткової дотації з державного бюджету</t>
  </si>
  <si>
    <t xml:space="preserve"> - міська програма розвитку футболу в м.Южноукраїнську на 2013-2016 роки</t>
  </si>
  <si>
    <t xml:space="preserve"> - міська програма розвитку донороства крові та її компонентов на 2012-2016 роки </t>
  </si>
  <si>
    <t xml:space="preserve"> - міська програма забезпечення профілактики ВІЛ-інфекції, лікування, догляду та підтримки ВІЛ-інфікованих і хворих на СНІД на 2012-2016 роки </t>
  </si>
  <si>
    <t xml:space="preserve"> - міська програма поводження із специфічними біологічними відходами в місті Южноукраїнську на 2012-2015 роки</t>
  </si>
  <si>
    <t xml:space="preserve"> - міська програма з надання паліативної та хоспісної допомоги в м. Южноукраїнську на період до 2016 року </t>
  </si>
  <si>
    <t xml:space="preserve"> - міська програма запобігання та лікування серцево-судинних та судинно-мозгових захворювань на 2012-2014 роки</t>
  </si>
  <si>
    <t xml:space="preserve"> - міська комплексна програма "Турбота" на 2009 - 2012 роки</t>
  </si>
  <si>
    <t xml:space="preserve"> - міська програма "Репродуктивне здоров'я населення міста Южноукраїнська " на період до 2015 року </t>
  </si>
  <si>
    <t>Забезпечення функціонування теплових мереж ,              в тому числі:</t>
  </si>
  <si>
    <t xml:space="preserve"> - міська програма енергозбереження в сфері житлово - комунального господарства м.Южноукраїнська  </t>
  </si>
  <si>
    <t xml:space="preserve"> - забезпечення функціонування теплових мереж за рахунок субвенції с державного бюджету</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</si>
  <si>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</si>
  <si>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</si>
  <si>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</si>
  <si>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</si>
  <si>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</si>
  <si>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Благоустрій  міст, сіл, селищ ,                                                           в тому числі:</t>
  </si>
  <si>
    <t xml:space="preserve"> - міська програма реформування і розвитку житлово - комунального господарства міста Южноукраїнська на 2010 - 2014 роки</t>
  </si>
  <si>
    <t xml:space="preserve"> - міська програма зайнятості населення міста Южноукраїнська на період до 2017 року в частині оплачуваних громадських робіт</t>
  </si>
  <si>
    <t xml:space="preserve"> - благоустрій  міст, сіл, селищ за рахунок субвенції з державного бюджету</t>
  </si>
  <si>
    <t xml:space="preserve"> - міська програма розвитку  дорожнього руху та його безпеки в місті Южноукраїнську  на 2013-2017 роки) </t>
  </si>
  <si>
    <t>Утримання та розвиток інфраструктури  доріг ,                                                в тому числі:</t>
  </si>
  <si>
    <t xml:space="preserve"> - утримання та розвиток інфраструктури доріг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</si>
  <si>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 - утримання та розвиток інфраструктури  доріг за рахунок субвенції з обласного бюджету місцевим бюджетам за рахунок залишку за станом на 01 січня 2013 року субвенції з державного бюджету на будівництво, реконструкцію, ремонт та утримання вулиць і доріг комунальної власності у населених пунктах </t>
  </si>
  <si>
    <t xml:space="preserve"> - утримання та розвиток інфраструктури  доріг за рахунок субвенції з обласного бюджету місцевим бюджетам за рахунок коштів державного бюджету на будівництво, реконструкцію, ремонт та утримання вулиць і доріг комунальної власності у населених пунктах  </t>
  </si>
  <si>
    <t>Програма стабілізації та соціально-економічного розвитку територій ,                                                                                     в тому числі:</t>
  </si>
  <si>
    <t xml:space="preserve"> - міська програма охорони твариного світу та регулювання чисельності бродячих тварин в місті Южноукраїнську на 2012-2016 роки в частині забезпечення проживання та харчування волонтерів організації VIER PFOTEN Internatsonal </t>
  </si>
  <si>
    <t xml:space="preserve"> - міська програма реформування і розвитку житлово-комунального господарства міста Южноукраїнська на 2010-2014 роки</t>
  </si>
  <si>
    <t xml:space="preserve"> - міська програма капітального будівництва об"єктів житлово-комунального господарства  і соціальної інфраструктури м.Южноукраїнську на 2011-2015 роки)</t>
  </si>
  <si>
    <t>2414800</t>
  </si>
  <si>
    <t xml:space="preserve">Інші культурно-освітні заклади та заходи </t>
  </si>
  <si>
    <t>за рахунок коштів міського бюджету</t>
  </si>
  <si>
    <t xml:space="preserve">Центри соціальних служб для сім’ї, дітей та молоді всього,                                                                                                                         в тому числі </t>
  </si>
  <si>
    <t>Цільовий фонд Южноукраїнської міської ради для вирішення питань розвитку інфраструктури міста,                                                           в тому числі:</t>
  </si>
  <si>
    <t xml:space="preserve"> - міська програма розвитку культури, фізичної культури, спорту та туризму в м.Южноукраїнську на 2010-2013 роки в частині проведення міжнародних змагань "Кубок Южноукраїнська" із танцювального спорту та фотоконкурсу на презентацію нашого міста </t>
  </si>
  <si>
    <t xml:space="preserve"> - міська програма розвитку культури, фізичної культури, спорту та туризму в м.Южноукраїнську на 2010-2013 роки в частині проведення Дня міста  </t>
  </si>
  <si>
    <t xml:space="preserve"> - міська комплексна програма "Молоде покоління" в частині проведення молодіжних заходів та акцій </t>
  </si>
  <si>
    <t>Заходи державної політики з питань молоді,                                   в тому числі:</t>
  </si>
  <si>
    <t xml:space="preserve"> - міська програма захисту прав дитей міста Южноукраїнськ "Дитинство" на 2013-2017 рр.</t>
  </si>
  <si>
    <t xml:space="preserve"> - міська комплексна програма "Програма профілактики соціального сирітства, захисту прав дітей-сиріт та дітей, позбавлених батьківського піклування на 2012 - 2015 роки"</t>
  </si>
  <si>
    <t>4019110</t>
  </si>
  <si>
    <t>2414060</t>
  </si>
  <si>
    <t>2414070</t>
  </si>
  <si>
    <t>Школи естетичного виховання дітей</t>
  </si>
  <si>
    <t>2414100</t>
  </si>
  <si>
    <t>Заходи державної політики з питань молоді (міська комплексна програма "Молоде покоління м. Южноукраїнська" на 2012-2015 роки )</t>
  </si>
  <si>
    <t>2413140</t>
  </si>
  <si>
    <t>2415011</t>
  </si>
  <si>
    <t>2415012</t>
  </si>
  <si>
    <t>2415060</t>
  </si>
  <si>
    <t>2415022</t>
  </si>
  <si>
    <t>6713140</t>
  </si>
  <si>
    <t xml:space="preserve">Заходи державної політики з питань молоді(міська комплексна програма "Молоде покоління Южноукраїнська на 2012-2015 роки") </t>
  </si>
  <si>
    <t>Організація рятування на водах (Утримання рятувальної станції)</t>
  </si>
  <si>
    <t>6717820</t>
  </si>
  <si>
    <t>6717810</t>
  </si>
  <si>
    <t>2013140</t>
  </si>
  <si>
    <t>1113131</t>
  </si>
  <si>
    <t>1113140</t>
  </si>
  <si>
    <t>7518110</t>
  </si>
  <si>
    <t xml:space="preserve">Сприяння розвитку малого та середнього підприємництва (міська програма розвитку  малого і середнього підприємництва в м.Южноукраїнську на 2013-2014 роки) </t>
  </si>
  <si>
    <t>Інші освітні програми (міська програма розвитку освіти в м.Южноукраїнську на 2011-2015 роки)</t>
  </si>
  <si>
    <t xml:space="preserve">Інші видатки на соціальний захист населення (міська програма розвитку донорства крові та її компонентів на 2012 - 2016 роки) </t>
  </si>
  <si>
    <t xml:space="preserve">Інші видатки на соціальний захист населення (міська програма імунопрофілактики та захисту населення міста Южноукраїнська від інфекційних хвороб на 2012 - 2015 роки) </t>
  </si>
  <si>
    <t>Інші видатки на соціальний захист населення (міська програма поводження із специфічними біологічними відходами в місті Южноукраїнську на 2012-2015 роки)</t>
  </si>
  <si>
    <t>Інші видатки на соціальний захист населення (міська програма з надання паліативної та хоспісної допомоги в м. Южноукраїнську на період до 2016 року)</t>
  </si>
  <si>
    <t>Інші видатки на соціальний захист населення (міська програма реформування медичного обслуговування населення міста Южноукраїнська на 2013- 2015рр )</t>
  </si>
  <si>
    <t>Інші видатки на соціальний захист населення (міська комплексна програма "Молоде покоління м. Южноукраїнська" на 2012-2015 роки )</t>
  </si>
  <si>
    <t>0300000</t>
  </si>
  <si>
    <t>0310080</t>
  </si>
  <si>
    <t>0317214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</si>
  <si>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2013-2016 роки)</t>
  </si>
  <si>
    <t>0317210</t>
  </si>
  <si>
    <t xml:space="preserve">Підтримка засобів масової інформації </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</si>
  <si>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2011 - 2015 роки)</t>
  </si>
  <si>
    <t>Проведення заходів із землеустрою (міська програма розвитку земельних відносин на 2011-2015 роки)</t>
  </si>
  <si>
    <t>0318600</t>
  </si>
  <si>
    <t>0310000</t>
  </si>
  <si>
    <t>Разом:</t>
  </si>
  <si>
    <t>Разом :</t>
  </si>
  <si>
    <t>1010080</t>
  </si>
  <si>
    <t>1000000</t>
  </si>
  <si>
    <t>1010000</t>
  </si>
  <si>
    <t>1500000</t>
  </si>
  <si>
    <t>1510000</t>
  </si>
  <si>
    <t>1510080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</si>
  <si>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</si>
  <si>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</si>
  <si>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</si>
  <si>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Надання пільг та субсидій населенню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</si>
  <si>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</si>
  <si>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</si>
  <si>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</si>
  <si>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 - інвалідам та тимчасової державної допомоги дітям</t>
  </si>
  <si>
    <t>1513100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</si>
  <si>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</si>
  <si>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</si>
  <si>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</si>
  <si>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</si>
  <si>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</si>
  <si>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</si>
  <si>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Інші видатки на соціальний захист населення</t>
  </si>
  <si>
    <t>1519230</t>
  </si>
  <si>
    <t>4000000</t>
  </si>
  <si>
    <t>4010000</t>
  </si>
  <si>
    <r>
      <t xml:space="preserve">Виконавчий комітет Южноукраїнської міської ради </t>
    </r>
    <r>
      <rPr>
        <i/>
        <sz val="14"/>
        <rFont val="Times New Roman"/>
        <family val="1"/>
      </rPr>
      <t>(головний розпорядник)</t>
    </r>
  </si>
  <si>
    <r>
      <t>Виконавчий комітет Южноукраїнської міської ради</t>
    </r>
    <r>
      <rPr>
        <i/>
        <sz val="14"/>
        <rFont val="Times New Roman"/>
        <family val="1"/>
      </rPr>
      <t xml:space="preserve"> (відповідальний виконавець) </t>
    </r>
  </si>
  <si>
    <r>
      <t xml:space="preserve">Управління освіти Южноукраїнської міської ради </t>
    </r>
    <r>
      <rPr>
        <i/>
        <sz val="14"/>
        <rFont val="Times New Roman"/>
        <family val="1"/>
      </rPr>
      <t xml:space="preserve">(відповідальний виконавець) </t>
    </r>
  </si>
  <si>
    <r>
      <t xml:space="preserve">Управління праці та соціального захисту населення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</si>
  <si>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</si>
  <si>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</si>
  <si>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r>
      <t xml:space="preserve">Управління праці та соціального захисту населення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</si>
  <si>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(головний розпорядник)</t>
    </r>
  </si>
  <si>
    <t>4010080</t>
  </si>
  <si>
    <t>4016020</t>
  </si>
  <si>
    <t>4016050</t>
  </si>
  <si>
    <t>Фінансова підтримка об'єктів житлово-комунального господарства</t>
  </si>
  <si>
    <t>7510080</t>
  </si>
  <si>
    <t>7500000</t>
  </si>
  <si>
    <t>7510000</t>
  </si>
  <si>
    <t>2400000</t>
  </si>
  <si>
    <t>2410000</t>
  </si>
  <si>
    <r>
      <t xml:space="preserve">Фінансове  управління Южноукраїнської міської ради </t>
    </r>
    <r>
      <rPr>
        <i/>
        <sz val="14"/>
        <rFont val="Times New Roman"/>
        <family val="1"/>
      </rPr>
      <t>(головний розпорядник)</t>
    </r>
  </si>
  <si>
    <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</si>
  <si>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(головний розпорядник)</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</si>
  <si>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</si>
  <si>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t>2410080</t>
  </si>
  <si>
    <t>2415010</t>
  </si>
  <si>
    <t>Проведення спортивної роботи в регіоні</t>
  </si>
  <si>
    <t>2415020</t>
  </si>
  <si>
    <t>Діяльність закладів фізичної культури і спорту</t>
  </si>
  <si>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 xml:space="preserve">(відповідальний виконавець) </t>
    </r>
  </si>
  <si>
    <r>
      <t xml:space="preserve">Управління з питань надзвичайних ситуацій, мобілізаційної роботи та взаємодії з правоохоронними органами Южноукраїнської міської ради  </t>
    </r>
    <r>
      <rPr>
        <i/>
        <sz val="14"/>
        <rFont val="Times New Roman"/>
        <family val="1"/>
      </rPr>
      <t>(головний розпорядник)</t>
    </r>
  </si>
  <si>
    <t>6700000</t>
  </si>
  <si>
    <t>6710000</t>
  </si>
  <si>
    <t>6710080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</si>
  <si>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</si>
  <si>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</si>
  <si>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</si>
  <si>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</si>
  <si>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</si>
  <si>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2010080</t>
  </si>
  <si>
    <t>1100000</t>
  </si>
  <si>
    <r>
      <t xml:space="preserve">Центр соціальних служб для сім'ї, дітей та молоді </t>
    </r>
    <r>
      <rPr>
        <i/>
        <sz val="14"/>
        <rFont val="Times New Roman"/>
        <family val="1"/>
      </rPr>
      <t>(головний розпорядник)</t>
    </r>
  </si>
  <si>
    <r>
      <t xml:space="preserve">Центр соціальних служб для сім'ї, дітей та молоді </t>
    </r>
    <r>
      <rPr>
        <i/>
        <sz val="14"/>
        <rFont val="Times New Roman"/>
        <family val="1"/>
      </rPr>
      <t xml:space="preserve">(відповідальний виконавець) </t>
    </r>
  </si>
  <si>
    <t>111000</t>
  </si>
  <si>
    <t>1113130</t>
  </si>
  <si>
    <t>Здійснення соціальної роботи з вразливими категоріями населення</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</si>
</sst>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
    <numFmt numFmtId="189" formatCode="#,##0.000"/>
    <numFmt numFmtId="190" formatCode="#,##0.00000"/>
    <numFmt numFmtId="191" formatCode="#,##0.0000"/>
    <numFmt numFmtId="192" formatCode="#,##0.000000"/>
    <numFmt numFmtId="193" formatCode="0_)"/>
  </numFmts>
  <fonts count="44">
    <font>
      <sz val="10"/>
      <name val="Arial Cyr"/>
      <family val="0"/>
    </font>
    <font>
      <u val="single"/>
      <sz val="10"/>
      <color indexed="12"/>
      <name val="Arial Cyr"/>
      <family val="0"/>
    </font>
    <font>
      <u val="single"/>
      <sz val="10"/>
      <color indexed="36"/>
      <name val="Arial Cyr"/>
      <family val="0"/>
    </font>
    <font>
      <sz val="14"/>
      <name val="Times New Roman"/>
      <family val="1"/>
    </font>
    <font>
      <sz val="14"/>
      <color indexed="10"/>
      <name val="Times New Roman"/>
      <family val="1"/>
    </font>
    <font>
      <sz val="16"/>
      <name val="Times New Roman"/>
      <family val="1"/>
    </font>
    <font>
      <sz val="20"/>
      <name val="Times New Roman"/>
      <family val="1"/>
    </font>
    <font>
      <sz val="10"/>
      <name val="Times New Roman"/>
      <family val="1"/>
    </font>
    <font>
      <sz val="10"/>
      <color indexed="8"/>
      <name val="Times New Roman"/>
      <family val="1"/>
    </font>
    <font>
      <sz val="12"/>
      <name val="Times New Roman"/>
      <family val="1"/>
    </font>
    <font>
      <sz val="14"/>
      <color indexed="8"/>
      <name val="Times New Roman"/>
      <family val="1"/>
    </font>
    <font>
      <sz val="13"/>
      <name val="Times New Roman"/>
      <family val="1"/>
    </font>
    <font>
      <sz val="13"/>
      <color indexed="8"/>
      <name val="Times New Roman"/>
      <family val="1"/>
    </font>
    <font>
      <sz val="13"/>
      <name val="Arial Cyr"/>
      <family val="0"/>
    </font>
    <font>
      <sz val="11"/>
      <name val="Arial Cyr"/>
      <family val="2"/>
    </font>
    <font>
      <sz val="12"/>
      <name val="Arial Cyr"/>
      <family val="2"/>
    </font>
    <font>
      <i/>
      <sz val="12"/>
      <name val="Times New Roman"/>
      <family val="1"/>
    </font>
    <font>
      <sz val="11"/>
      <name val="Times New Roman"/>
      <family val="1"/>
    </font>
    <font>
      <sz val="8"/>
      <name val="Arial Cyr"/>
      <family val="0"/>
    </font>
    <font>
      <sz val="14"/>
      <name val="Arial Cyr"/>
      <family val="2"/>
    </font>
    <font>
      <i/>
      <sz val="14"/>
      <name val="Times New Roman"/>
      <family val="1"/>
    </font>
    <font>
      <sz val="14"/>
      <color indexed="10"/>
      <name val="Arial Cyr"/>
      <family val="2"/>
    </font>
    <font>
      <i/>
      <sz val="10"/>
      <name val="Arial Cyr"/>
      <family val="2"/>
    </font>
    <font>
      <b/>
      <sz val="14"/>
      <name val="Times New Roman"/>
      <family val="1"/>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35"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6" fillId="0" borderId="6" applyNumberFormat="0" applyFill="0" applyAlignment="0" applyProtection="0"/>
    <xf numFmtId="0" fontId="37" fillId="15" borderId="7" applyNumberFormat="0" applyAlignment="0" applyProtection="0"/>
    <xf numFmtId="0" fontId="29" fillId="0" borderId="0" applyNumberFormat="0" applyFill="0" applyBorder="0" applyAlignment="0" applyProtection="0"/>
    <xf numFmtId="0" fontId="38" fillId="8" borderId="0" applyNumberFormat="0" applyBorder="0" applyAlignment="0" applyProtection="0"/>
    <xf numFmtId="0" fontId="2" fillId="0" borderId="0" applyNumberFormat="0" applyFill="0" applyBorder="0" applyAlignment="0" applyProtection="0"/>
    <xf numFmtId="0" fontId="39" fillId="16" borderId="0" applyNumberFormat="0" applyBorder="0" applyAlignment="0" applyProtection="0"/>
    <xf numFmtId="0" fontId="4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17" borderId="0" applyNumberFormat="0" applyBorder="0" applyAlignment="0" applyProtection="0"/>
  </cellStyleXfs>
  <cellXfs count="205">
    <xf numFmtId="0" fontId="0" fillId="0" borderId="0" xfId="0" applyAlignment="1">
      <alignment/>
    </xf>
    <xf numFmtId="49" fontId="3" fillId="0" borderId="0" xfId="0" applyNumberFormat="1" applyFont="1" applyFill="1" applyAlignment="1">
      <alignment wrapText="1"/>
    </xf>
    <xf numFmtId="0" fontId="3" fillId="0" borderId="0" xfId="0" applyFont="1" applyFill="1" applyAlignment="1">
      <alignment wrapText="1"/>
    </xf>
    <xf numFmtId="49" fontId="3" fillId="0" borderId="0" xfId="0" applyNumberFormat="1" applyFont="1" applyFill="1" applyAlignment="1">
      <alignment horizontal="center" wrapText="1"/>
    </xf>
    <xf numFmtId="0" fontId="3" fillId="0" borderId="0" xfId="0" applyFont="1" applyFill="1" applyAlignment="1">
      <alignment/>
    </xf>
    <xf numFmtId="180" fontId="3" fillId="0" borderId="0" xfId="0" applyNumberFormat="1" applyFont="1" applyFill="1" applyBorder="1" applyAlignment="1">
      <alignment wrapText="1"/>
    </xf>
    <xf numFmtId="180"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85" fontId="3" fillId="0" borderId="0" xfId="0" applyNumberFormat="1" applyFont="1" applyFill="1" applyAlignment="1">
      <alignment wrapText="1"/>
    </xf>
    <xf numFmtId="185" fontId="3" fillId="0" borderId="0" xfId="0" applyNumberFormat="1" applyFont="1" applyFill="1" applyBorder="1" applyAlignment="1">
      <alignment/>
    </xf>
    <xf numFmtId="0" fontId="3" fillId="0" borderId="0" xfId="0" applyFont="1" applyFill="1" applyBorder="1" applyAlignment="1">
      <alignment/>
    </xf>
    <xf numFmtId="0" fontId="5" fillId="0" borderId="0" xfId="0" applyFont="1" applyFill="1" applyAlignment="1">
      <alignment horizontal="left" wrapText="1"/>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horizontal="left" wrapText="1"/>
    </xf>
    <xf numFmtId="0" fontId="7" fillId="0" borderId="0" xfId="0" applyFont="1" applyFill="1" applyAlignment="1">
      <alignment/>
    </xf>
    <xf numFmtId="0" fontId="0" fillId="0" borderId="0" xfId="0" applyFont="1" applyFill="1" applyAlignment="1">
      <alignment/>
    </xf>
    <xf numFmtId="190" fontId="3" fillId="0" borderId="0" xfId="0" applyNumberFormat="1" applyFont="1" applyFill="1" applyAlignment="1">
      <alignment wrapText="1"/>
    </xf>
    <xf numFmtId="190" fontId="9" fillId="0" borderId="0" xfId="0" applyNumberFormat="1" applyFont="1" applyFill="1" applyBorder="1" applyAlignment="1">
      <alignment wrapText="1"/>
    </xf>
    <xf numFmtId="190" fontId="3" fillId="0" borderId="0" xfId="0" applyNumberFormat="1" applyFont="1" applyFill="1" applyBorder="1" applyAlignment="1">
      <alignment wrapText="1"/>
    </xf>
    <xf numFmtId="190" fontId="5" fillId="0" borderId="0" xfId="0" applyNumberFormat="1" applyFont="1" applyFill="1" applyAlignment="1">
      <alignment horizontal="left" wrapText="1"/>
    </xf>
    <xf numFmtId="190" fontId="6" fillId="0" borderId="0" xfId="0" applyNumberFormat="1" applyFont="1" applyFill="1" applyAlignment="1">
      <alignment wrapText="1"/>
    </xf>
    <xf numFmtId="190" fontId="3" fillId="0" borderId="0" xfId="0" applyNumberFormat="1" applyFont="1" applyFill="1" applyAlignment="1">
      <alignment/>
    </xf>
    <xf numFmtId="189" fontId="9" fillId="0" borderId="0" xfId="0" applyNumberFormat="1" applyFont="1" applyFill="1" applyBorder="1" applyAlignment="1">
      <alignment wrapText="1"/>
    </xf>
    <xf numFmtId="190" fontId="9" fillId="0" borderId="0" xfId="0" applyNumberFormat="1" applyFont="1" applyFill="1" applyAlignment="1">
      <alignment wrapText="1"/>
    </xf>
    <xf numFmtId="190" fontId="17" fillId="0" borderId="0" xfId="0" applyNumberFormat="1" applyFont="1" applyFill="1" applyAlignment="1">
      <alignment horizontal="left" wrapText="1"/>
    </xf>
    <xf numFmtId="0" fontId="0" fillId="0" borderId="0" xfId="0" applyFont="1" applyFill="1" applyAlignment="1">
      <alignment wrapText="1"/>
    </xf>
    <xf numFmtId="189" fontId="6" fillId="0" borderId="0" xfId="0" applyNumberFormat="1" applyFont="1" applyFill="1" applyAlignment="1">
      <alignment wrapText="1"/>
    </xf>
    <xf numFmtId="189" fontId="6" fillId="0" borderId="0" xfId="0" applyNumberFormat="1" applyFont="1" applyFill="1" applyAlignment="1">
      <alignment/>
    </xf>
    <xf numFmtId="49" fontId="12"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xf>
    <xf numFmtId="0" fontId="8" fillId="0" borderId="10" xfId="0" applyFont="1" applyFill="1" applyBorder="1" applyAlignment="1" applyProtection="1">
      <alignment horizontal="center"/>
      <protection locked="0"/>
    </xf>
    <xf numFmtId="0" fontId="9" fillId="0" borderId="0" xfId="0" applyFont="1" applyFill="1" applyBorder="1" applyAlignment="1">
      <alignment/>
    </xf>
    <xf numFmtId="0" fontId="16" fillId="0" borderId="0" xfId="0" applyFont="1" applyFill="1" applyBorder="1" applyAlignment="1">
      <alignment/>
    </xf>
    <xf numFmtId="190" fontId="0" fillId="0" borderId="0" xfId="0" applyNumberFormat="1" applyFont="1" applyFill="1" applyAlignment="1">
      <alignment wrapText="1"/>
    </xf>
    <xf numFmtId="0" fontId="14" fillId="0" borderId="0" xfId="0" applyFont="1" applyFill="1" applyAlignment="1">
      <alignment wrapText="1"/>
    </xf>
    <xf numFmtId="190" fontId="14" fillId="0" borderId="0" xfId="0" applyNumberFormat="1" applyFont="1" applyFill="1" applyAlignment="1">
      <alignment wrapText="1"/>
    </xf>
    <xf numFmtId="190" fontId="0" fillId="0" borderId="0" xfId="0" applyNumberFormat="1" applyFont="1" applyFill="1" applyAlignment="1">
      <alignment wrapText="1"/>
    </xf>
    <xf numFmtId="190" fontId="0" fillId="0" borderId="0" xfId="0" applyNumberFormat="1" applyFont="1" applyFill="1" applyBorder="1" applyAlignment="1">
      <alignment/>
    </xf>
    <xf numFmtId="190" fontId="14" fillId="0" borderId="0" xfId="0" applyNumberFormat="1" applyFont="1" applyFill="1" applyAlignment="1">
      <alignment horizontal="center" wrapText="1"/>
    </xf>
    <xf numFmtId="0" fontId="5" fillId="0" borderId="0" xfId="0" applyFont="1" applyFill="1" applyBorder="1" applyAlignment="1">
      <alignment horizontal="left" wrapText="1"/>
    </xf>
    <xf numFmtId="190" fontId="3" fillId="0" borderId="0" xfId="0" applyNumberFormat="1" applyFont="1" applyFill="1" applyBorder="1" applyAlignment="1">
      <alignment/>
    </xf>
    <xf numFmtId="0" fontId="5" fillId="0" borderId="0" xfId="0" applyFont="1" applyFill="1" applyBorder="1" applyAlignment="1">
      <alignment/>
    </xf>
    <xf numFmtId="190" fontId="3" fillId="0" borderId="0" xfId="0" applyNumberFormat="1" applyFont="1" applyFill="1" applyBorder="1" applyAlignment="1">
      <alignment/>
    </xf>
    <xf numFmtId="180" fontId="0" fillId="0" borderId="0" xfId="0" applyNumberFormat="1" applyFont="1" applyFill="1" applyBorder="1" applyAlignment="1">
      <alignment wrapText="1"/>
    </xf>
    <xf numFmtId="189" fontId="3" fillId="0" borderId="0" xfId="0" applyNumberFormat="1" applyFont="1" applyFill="1" applyAlignment="1">
      <alignment wrapText="1"/>
    </xf>
    <xf numFmtId="180" fontId="0" fillId="0" borderId="0" xfId="0" applyNumberFormat="1" applyFont="1" applyFill="1" applyAlignment="1">
      <alignment wrapText="1"/>
    </xf>
    <xf numFmtId="185" fontId="0" fillId="0" borderId="0" xfId="0" applyNumberFormat="1" applyFont="1" applyFill="1" applyAlignment="1">
      <alignment wrapText="1"/>
    </xf>
    <xf numFmtId="193" fontId="10" fillId="0" borderId="10" xfId="0" applyNumberFormat="1" applyFont="1" applyBorder="1" applyAlignment="1" applyProtection="1">
      <alignment horizontal="center" vertical="center" wrapText="1"/>
      <protection locked="0"/>
    </xf>
    <xf numFmtId="0" fontId="3" fillId="0" borderId="0" xfId="0" applyFont="1" applyFill="1" applyAlignment="1">
      <alignment horizontal="center"/>
    </xf>
    <xf numFmtId="0" fontId="3" fillId="0" borderId="0" xfId="0" applyFont="1" applyFill="1" applyBorder="1" applyAlignment="1">
      <alignment horizontal="center"/>
    </xf>
    <xf numFmtId="0" fontId="8" fillId="0" borderId="10" xfId="0" applyFont="1" applyBorder="1" applyAlignment="1" applyProtection="1">
      <alignment horizontal="center" vertical="center" wrapText="1"/>
      <protection locked="0"/>
    </xf>
    <xf numFmtId="49" fontId="10" fillId="0" borderId="10" xfId="0" applyNumberFormat="1" applyFont="1" applyBorder="1" applyAlignment="1">
      <alignment horizontal="center"/>
    </xf>
    <xf numFmtId="0" fontId="19" fillId="0" borderId="0" xfId="0" applyFont="1" applyFill="1" applyAlignment="1">
      <alignment horizontal="center"/>
    </xf>
    <xf numFmtId="0" fontId="19" fillId="0" borderId="0" xfId="0" applyFont="1" applyFill="1" applyAlignment="1">
      <alignment wrapText="1"/>
    </xf>
    <xf numFmtId="0" fontId="3" fillId="0" borderId="0" xfId="0" applyFont="1" applyFill="1" applyAlignment="1">
      <alignment horizontal="left" wrapText="1"/>
    </xf>
    <xf numFmtId="2" fontId="3" fillId="0" borderId="0" xfId="0" applyNumberFormat="1" applyFont="1" applyFill="1" applyAlignment="1">
      <alignment horizontal="left"/>
    </xf>
    <xf numFmtId="49" fontId="3" fillId="0" borderId="0" xfId="0" applyNumberFormat="1" applyFont="1" applyFill="1" applyBorder="1" applyAlignment="1">
      <alignment horizontal="left"/>
    </xf>
    <xf numFmtId="193" fontId="10" fillId="0" borderId="11" xfId="0" applyNumberFormat="1" applyFont="1" applyBorder="1" applyAlignment="1" applyProtection="1">
      <alignment horizontal="center" vertical="center" wrapText="1"/>
      <protection locked="0"/>
    </xf>
    <xf numFmtId="49" fontId="10" fillId="0" borderId="12" xfId="0" applyNumberFormat="1" applyFont="1" applyBorder="1" applyAlignment="1">
      <alignment horizontal="center"/>
    </xf>
    <xf numFmtId="0" fontId="8" fillId="0" borderId="11" xfId="0" applyFont="1" applyBorder="1" applyAlignment="1" applyProtection="1">
      <alignment horizontal="center" vertical="center" wrapText="1"/>
      <protection locked="0"/>
    </xf>
    <xf numFmtId="0" fontId="8" fillId="0" borderId="11" xfId="0" applyFont="1" applyFill="1" applyBorder="1" applyAlignment="1" applyProtection="1">
      <alignment horizontal="center"/>
      <protection locked="0"/>
    </xf>
    <xf numFmtId="0" fontId="7" fillId="0" borderId="11" xfId="0" applyFont="1" applyFill="1" applyBorder="1" applyAlignment="1">
      <alignment horizontal="center"/>
    </xf>
    <xf numFmtId="49" fontId="23" fillId="0" borderId="0" xfId="0" applyNumberFormat="1" applyFont="1" applyFill="1" applyBorder="1" applyAlignment="1">
      <alignment horizontal="center"/>
    </xf>
    <xf numFmtId="0" fontId="2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0" fontId="3" fillId="0" borderId="0" xfId="0" applyNumberFormat="1" applyFont="1" applyFill="1" applyBorder="1" applyAlignment="1" applyProtection="1">
      <alignment/>
      <protection locked="0"/>
    </xf>
    <xf numFmtId="190" fontId="10" fillId="0" borderId="0" xfId="0" applyNumberFormat="1" applyFont="1" applyFill="1" applyBorder="1" applyAlignment="1">
      <alignment/>
    </xf>
    <xf numFmtId="0" fontId="10" fillId="0" borderId="0" xfId="0" applyFont="1" applyBorder="1" applyAlignment="1">
      <alignment wrapText="1"/>
    </xf>
    <xf numFmtId="190" fontId="10" fillId="0" borderId="0" xfId="0" applyNumberFormat="1" applyFont="1" applyFill="1" applyBorder="1" applyAlignment="1" applyProtection="1">
      <alignment/>
      <protection locked="0"/>
    </xf>
    <xf numFmtId="0" fontId="3" fillId="2" borderId="0" xfId="0" applyFont="1" applyFill="1" applyBorder="1" applyAlignment="1">
      <alignment horizontal="left" wrapText="1"/>
    </xf>
    <xf numFmtId="190" fontId="0" fillId="0" borderId="0" xfId="0" applyNumberFormat="1" applyFont="1" applyFill="1" applyBorder="1" applyAlignment="1">
      <alignment wrapText="1"/>
    </xf>
    <xf numFmtId="49" fontId="20" fillId="0" borderId="0" xfId="0" applyNumberFormat="1" applyFont="1" applyFill="1" applyBorder="1" applyAlignment="1">
      <alignment horizontal="center"/>
    </xf>
    <xf numFmtId="49" fontId="20" fillId="0" borderId="0" xfId="0" applyNumberFormat="1" applyFont="1" applyFill="1" applyBorder="1" applyAlignment="1">
      <alignment horizontal="center" wrapText="1"/>
    </xf>
    <xf numFmtId="0" fontId="20" fillId="0" borderId="0" xfId="0" applyFont="1" applyFill="1" applyBorder="1" applyAlignment="1">
      <alignment wrapText="1"/>
    </xf>
    <xf numFmtId="190" fontId="20" fillId="0" borderId="0" xfId="0" applyNumberFormat="1" applyFont="1" applyFill="1" applyBorder="1" applyAlignment="1">
      <alignment wrapText="1"/>
    </xf>
    <xf numFmtId="190" fontId="22" fillId="0" borderId="0" xfId="0" applyNumberFormat="1" applyFont="1" applyFill="1" applyBorder="1" applyAlignment="1">
      <alignment wrapText="1"/>
    </xf>
    <xf numFmtId="0" fontId="20" fillId="0" borderId="0" xfId="0" applyFont="1" applyFill="1" applyBorder="1" applyAlignment="1">
      <alignment/>
    </xf>
    <xf numFmtId="0" fontId="3" fillId="0" borderId="0" xfId="0" applyFont="1" applyBorder="1" applyAlignment="1">
      <alignment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2" borderId="0" xfId="0" applyFont="1" applyFill="1" applyBorder="1" applyAlignment="1">
      <alignment wrapText="1"/>
    </xf>
    <xf numFmtId="49" fontId="3" fillId="8" borderId="0" xfId="0" applyNumberFormat="1" applyFont="1" applyFill="1" applyBorder="1" applyAlignment="1">
      <alignment horizontal="center"/>
    </xf>
    <xf numFmtId="49" fontId="3" fillId="8" borderId="0" xfId="0" applyNumberFormat="1" applyFont="1" applyFill="1" applyBorder="1" applyAlignment="1">
      <alignment horizontal="center" wrapText="1"/>
    </xf>
    <xf numFmtId="0" fontId="3" fillId="0" borderId="0" xfId="0" applyFont="1" applyFill="1" applyBorder="1" applyAlignment="1">
      <alignment wrapText="1"/>
    </xf>
    <xf numFmtId="190" fontId="19" fillId="0" borderId="0" xfId="0" applyNumberFormat="1" applyFont="1" applyFill="1" applyBorder="1" applyAlignment="1">
      <alignment wrapText="1"/>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90" fontId="4" fillId="0" borderId="0" xfId="0" applyNumberFormat="1" applyFont="1" applyFill="1" applyBorder="1" applyAlignment="1">
      <alignment wrapText="1"/>
    </xf>
    <xf numFmtId="190" fontId="15" fillId="0" borderId="0" xfId="0" applyNumberFormat="1" applyFont="1" applyFill="1" applyBorder="1" applyAlignment="1">
      <alignment wrapText="1"/>
    </xf>
    <xf numFmtId="0" fontId="3" fillId="0" borderId="0" xfId="0" applyNumberFormat="1" applyFont="1" applyFill="1" applyBorder="1" applyAlignment="1">
      <alignment wrapText="1"/>
    </xf>
    <xf numFmtId="49" fontId="3" fillId="17" borderId="0" xfId="0" applyNumberFormat="1" applyFont="1" applyFill="1" applyBorder="1" applyAlignment="1">
      <alignment horizontal="center"/>
    </xf>
    <xf numFmtId="49" fontId="3" fillId="17" borderId="0" xfId="0" applyNumberFormat="1" applyFont="1" applyFill="1" applyBorder="1" applyAlignment="1">
      <alignment horizontal="center" wrapText="1"/>
    </xf>
    <xf numFmtId="190" fontId="3" fillId="17" borderId="0" xfId="0" applyNumberFormat="1" applyFont="1" applyFill="1" applyBorder="1" applyAlignment="1">
      <alignment wrapText="1"/>
    </xf>
    <xf numFmtId="0" fontId="23" fillId="8" borderId="0" xfId="0" applyFont="1" applyFill="1" applyBorder="1" applyAlignment="1">
      <alignment wrapText="1"/>
    </xf>
    <xf numFmtId="190" fontId="23" fillId="8" borderId="0" xfId="0" applyNumberFormat="1" applyFont="1" applyFill="1" applyBorder="1" applyAlignment="1">
      <alignment wrapText="1"/>
    </xf>
    <xf numFmtId="190" fontId="3" fillId="8" borderId="0" xfId="0" applyNumberFormat="1" applyFont="1" applyFill="1" applyBorder="1" applyAlignment="1">
      <alignment/>
    </xf>
    <xf numFmtId="0" fontId="3" fillId="8" borderId="0" xfId="0" applyFont="1" applyFill="1" applyBorder="1" applyAlignment="1">
      <alignment/>
    </xf>
    <xf numFmtId="49" fontId="23" fillId="17" borderId="0" xfId="0" applyNumberFormat="1" applyFont="1" applyFill="1" applyBorder="1" applyAlignment="1">
      <alignment horizontal="center"/>
    </xf>
    <xf numFmtId="0" fontId="23" fillId="17" borderId="0" xfId="0" applyFont="1" applyFill="1" applyBorder="1" applyAlignment="1">
      <alignment horizontal="left" wrapText="1"/>
    </xf>
    <xf numFmtId="190" fontId="3" fillId="17" borderId="0" xfId="0" applyNumberFormat="1" applyFont="1" applyFill="1" applyBorder="1" applyAlignment="1">
      <alignment/>
    </xf>
    <xf numFmtId="0" fontId="3" fillId="17" borderId="0" xfId="0" applyFont="1" applyFill="1" applyBorder="1" applyAlignment="1">
      <alignment/>
    </xf>
    <xf numFmtId="49" fontId="23" fillId="17" borderId="0" xfId="0" applyNumberFormat="1" applyFont="1" applyFill="1" applyBorder="1" applyAlignment="1">
      <alignment horizontal="center" wrapText="1"/>
    </xf>
    <xf numFmtId="0" fontId="23" fillId="17" borderId="0" xfId="0" applyFont="1" applyFill="1" applyBorder="1" applyAlignment="1">
      <alignment horizontal="center" wrapText="1"/>
    </xf>
    <xf numFmtId="49" fontId="23" fillId="0" borderId="0" xfId="0" applyNumberFormat="1" applyFont="1" applyFill="1" applyBorder="1" applyAlignment="1">
      <alignment horizontal="center" wrapText="1"/>
    </xf>
    <xf numFmtId="1" fontId="23" fillId="8" borderId="0" xfId="0" applyNumberFormat="1" applyFont="1" applyFill="1" applyBorder="1" applyAlignment="1">
      <alignment horizontal="left" wrapText="1"/>
    </xf>
    <xf numFmtId="180" fontId="3" fillId="17"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wrapText="1"/>
    </xf>
    <xf numFmtId="0" fontId="20" fillId="2" borderId="0" xfId="0" applyFont="1" applyFill="1" applyBorder="1" applyAlignment="1">
      <alignment wrapText="1"/>
    </xf>
    <xf numFmtId="190" fontId="20" fillId="0" borderId="0" xfId="0" applyNumberFormat="1" applyFont="1" applyFill="1" applyBorder="1" applyAlignment="1">
      <alignment horizontal="right" wrapText="1"/>
    </xf>
    <xf numFmtId="49" fontId="20" fillId="2" borderId="0" xfId="0" applyNumberFormat="1" applyFont="1" applyFill="1" applyBorder="1" applyAlignment="1">
      <alignment horizontal="center"/>
    </xf>
    <xf numFmtId="49" fontId="20" fillId="2" borderId="0" xfId="0" applyNumberFormat="1" applyFont="1" applyFill="1" applyBorder="1" applyAlignment="1">
      <alignment horizontal="center" wrapText="1"/>
    </xf>
    <xf numFmtId="0" fontId="20" fillId="2" borderId="0" xfId="0" applyFont="1" applyFill="1" applyBorder="1" applyAlignment="1">
      <alignment horizontal="left" wrapText="1"/>
    </xf>
    <xf numFmtId="0" fontId="20" fillId="0" borderId="0" xfId="0" applyFont="1" applyFill="1" applyBorder="1" applyAlignment="1">
      <alignment horizontal="left" wrapText="1"/>
    </xf>
    <xf numFmtId="0" fontId="22" fillId="0" borderId="0" xfId="0" applyFont="1" applyFill="1" applyBorder="1" applyAlignment="1">
      <alignment/>
    </xf>
    <xf numFmtId="49" fontId="24" fillId="0" borderId="0" xfId="0" applyNumberFormat="1" applyFont="1" applyFill="1" applyBorder="1" applyAlignment="1">
      <alignment horizontal="center"/>
    </xf>
    <xf numFmtId="190" fontId="22" fillId="0" borderId="0" xfId="0" applyNumberFormat="1" applyFont="1" applyFill="1" applyBorder="1" applyAlignment="1">
      <alignment wrapText="1"/>
    </xf>
    <xf numFmtId="0" fontId="23" fillId="0" borderId="0" xfId="0" applyFont="1" applyFill="1" applyBorder="1" applyAlignment="1">
      <alignment wrapText="1"/>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0" fontId="3" fillId="3" borderId="0" xfId="0" applyFont="1" applyFill="1" applyBorder="1" applyAlignment="1">
      <alignment/>
    </xf>
    <xf numFmtId="0" fontId="3" fillId="3" borderId="0" xfId="0" applyFont="1" applyFill="1" applyBorder="1" applyAlignment="1">
      <alignment horizontal="left" wrapText="1"/>
    </xf>
    <xf numFmtId="190" fontId="0" fillId="3" borderId="0" xfId="0" applyNumberFormat="1" applyFont="1" applyFill="1" applyBorder="1" applyAlignment="1">
      <alignment wrapText="1"/>
    </xf>
    <xf numFmtId="0" fontId="0" fillId="3" borderId="0" xfId="0" applyFont="1" applyFill="1" applyBorder="1" applyAlignment="1">
      <alignment/>
    </xf>
    <xf numFmtId="190" fontId="20" fillId="0" borderId="0" xfId="0" applyNumberFormat="1" applyFont="1" applyFill="1" applyBorder="1" applyAlignment="1" applyProtection="1">
      <alignment/>
      <protection locked="0"/>
    </xf>
    <xf numFmtId="190" fontId="16" fillId="0" borderId="0" xfId="0" applyNumberFormat="1" applyFont="1" applyFill="1" applyBorder="1" applyAlignment="1">
      <alignment wrapText="1"/>
    </xf>
    <xf numFmtId="190" fontId="25" fillId="0" borderId="0" xfId="0" applyNumberFormat="1" applyFont="1" applyFill="1" applyBorder="1" applyAlignment="1">
      <alignment/>
    </xf>
    <xf numFmtId="190" fontId="3" fillId="3" borderId="0" xfId="0" applyNumberFormat="1" applyFont="1" applyFill="1" applyBorder="1" applyAlignment="1" applyProtection="1">
      <alignment/>
      <protection locked="0"/>
    </xf>
    <xf numFmtId="190" fontId="9" fillId="3" borderId="0" xfId="0" applyNumberFormat="1" applyFont="1" applyFill="1" applyBorder="1" applyAlignment="1">
      <alignment wrapText="1"/>
    </xf>
    <xf numFmtId="190" fontId="10" fillId="3" borderId="0" xfId="0" applyNumberFormat="1" applyFont="1" applyFill="1" applyBorder="1" applyAlignment="1">
      <alignment/>
    </xf>
    <xf numFmtId="0" fontId="9" fillId="3" borderId="0" xfId="0" applyFont="1" applyFill="1" applyBorder="1" applyAlignment="1">
      <alignment/>
    </xf>
    <xf numFmtId="0" fontId="23" fillId="0" borderId="0" xfId="0" applyFont="1" applyFill="1" applyBorder="1" applyAlignment="1">
      <alignment/>
    </xf>
    <xf numFmtId="49" fontId="20" fillId="3" borderId="0" xfId="0" applyNumberFormat="1" applyFont="1" applyFill="1" applyBorder="1" applyAlignment="1">
      <alignment horizontal="center"/>
    </xf>
    <xf numFmtId="49" fontId="20" fillId="3" borderId="0" xfId="0" applyNumberFormat="1" applyFont="1" applyFill="1" applyBorder="1" applyAlignment="1">
      <alignment horizontal="center" wrapText="1"/>
    </xf>
    <xf numFmtId="190" fontId="20" fillId="3" borderId="0" xfId="0" applyNumberFormat="1" applyFont="1" applyFill="1" applyBorder="1" applyAlignment="1">
      <alignment wrapText="1"/>
    </xf>
    <xf numFmtId="0" fontId="20" fillId="3" borderId="0" xfId="0" applyFont="1" applyFill="1" applyBorder="1" applyAlignment="1">
      <alignment/>
    </xf>
    <xf numFmtId="189" fontId="20" fillId="0" borderId="0" xfId="0" applyNumberFormat="1" applyFont="1" applyFill="1" applyBorder="1" applyAlignment="1">
      <alignment/>
    </xf>
    <xf numFmtId="1" fontId="3" fillId="3" borderId="0" xfId="0" applyNumberFormat="1" applyFont="1" applyFill="1" applyBorder="1" applyAlignment="1">
      <alignment horizontal="left" wrapText="1"/>
    </xf>
    <xf numFmtId="190" fontId="3" fillId="3" borderId="0" xfId="0" applyNumberFormat="1" applyFont="1" applyFill="1" applyBorder="1" applyAlignment="1">
      <alignment/>
    </xf>
    <xf numFmtId="190" fontId="9" fillId="3" borderId="0" xfId="0" applyNumberFormat="1" applyFont="1" applyFill="1" applyBorder="1" applyAlignment="1">
      <alignment/>
    </xf>
    <xf numFmtId="190" fontId="20" fillId="3" borderId="0" xfId="0" applyNumberFormat="1" applyFont="1" applyFill="1" applyBorder="1" applyAlignment="1">
      <alignment/>
    </xf>
    <xf numFmtId="49" fontId="23" fillId="8" borderId="0" xfId="0" applyNumberFormat="1" applyFont="1" applyFill="1" applyBorder="1" applyAlignment="1">
      <alignment horizontal="center"/>
    </xf>
    <xf numFmtId="49" fontId="23" fillId="8" borderId="0" xfId="0" applyNumberFormat="1" applyFont="1" applyFill="1" applyBorder="1" applyAlignment="1">
      <alignment horizontal="center" wrapText="1"/>
    </xf>
    <xf numFmtId="0" fontId="23" fillId="8" borderId="0" xfId="0" applyFont="1" applyFill="1" applyBorder="1" applyAlignment="1">
      <alignment/>
    </xf>
    <xf numFmtId="190" fontId="23" fillId="8" borderId="0" xfId="0" applyNumberFormat="1" applyFont="1" applyFill="1" applyBorder="1" applyAlignment="1">
      <alignment/>
    </xf>
    <xf numFmtId="1" fontId="3" fillId="3" borderId="0" xfId="0" applyNumberFormat="1" applyFont="1" applyFill="1" applyBorder="1" applyAlignment="1">
      <alignment wrapText="1"/>
    </xf>
    <xf numFmtId="190" fontId="21" fillId="3" borderId="0" xfId="0" applyNumberFormat="1" applyFont="1" applyFill="1" applyBorder="1" applyAlignment="1">
      <alignment wrapText="1"/>
    </xf>
    <xf numFmtId="0" fontId="7" fillId="3" borderId="0" xfId="0" applyFont="1" applyFill="1" applyBorder="1" applyAlignment="1">
      <alignment/>
    </xf>
    <xf numFmtId="190" fontId="7" fillId="3" borderId="0" xfId="0" applyNumberFormat="1" applyFont="1" applyFill="1" applyBorder="1" applyAlignment="1">
      <alignment/>
    </xf>
    <xf numFmtId="0" fontId="20" fillId="0" borderId="0" xfId="0" applyFont="1" applyBorder="1" applyAlignment="1">
      <alignment wrapText="1"/>
    </xf>
    <xf numFmtId="0" fontId="3" fillId="3" borderId="0" xfId="0" applyFont="1" applyFill="1" applyBorder="1" applyAlignment="1">
      <alignment vertical="center" wrapText="1"/>
    </xf>
    <xf numFmtId="1" fontId="20" fillId="0" borderId="0" xfId="0" applyNumberFormat="1" applyFont="1" applyFill="1" applyBorder="1" applyAlignment="1">
      <alignment horizontal="left" wrapText="1"/>
    </xf>
    <xf numFmtId="190" fontId="23" fillId="0" borderId="0" xfId="0" applyNumberFormat="1" applyFont="1" applyFill="1" applyBorder="1" applyAlignment="1">
      <alignment/>
    </xf>
    <xf numFmtId="0" fontId="23" fillId="8" borderId="0" xfId="0" applyFont="1" applyFill="1" applyBorder="1" applyAlignment="1">
      <alignment horizontal="left" wrapText="1"/>
    </xf>
    <xf numFmtId="0" fontId="23" fillId="17" borderId="0" xfId="0" applyFont="1" applyFill="1" applyBorder="1" applyAlignment="1">
      <alignment wrapText="1"/>
    </xf>
    <xf numFmtId="190" fontId="23" fillId="17" borderId="0" xfId="0" applyNumberFormat="1" applyFont="1" applyFill="1" applyBorder="1" applyAlignment="1">
      <alignment wrapText="1"/>
    </xf>
    <xf numFmtId="190" fontId="23" fillId="17" borderId="0" xfId="0" applyNumberFormat="1" applyFont="1" applyFill="1" applyBorder="1" applyAlignment="1">
      <alignment/>
    </xf>
    <xf numFmtId="0" fontId="23" fillId="17" borderId="0" xfId="0" applyFont="1" applyFill="1" applyBorder="1" applyAlignment="1">
      <alignment/>
    </xf>
    <xf numFmtId="1" fontId="23" fillId="8" borderId="0" xfId="0" applyNumberFormat="1" applyFont="1" applyFill="1" applyBorder="1" applyAlignment="1">
      <alignment wrapText="1"/>
    </xf>
    <xf numFmtId="0" fontId="26" fillId="8" borderId="0" xfId="0" applyFont="1" applyFill="1" applyBorder="1" applyAlignment="1">
      <alignment/>
    </xf>
    <xf numFmtId="190" fontId="26" fillId="8" borderId="0" xfId="0" applyNumberFormat="1" applyFont="1" applyFill="1" applyBorder="1" applyAlignment="1">
      <alignment/>
    </xf>
    <xf numFmtId="190" fontId="20" fillId="0" borderId="0" xfId="0" applyNumberFormat="1" applyFont="1" applyFill="1" applyBorder="1" applyAlignment="1">
      <alignment/>
    </xf>
    <xf numFmtId="190" fontId="24" fillId="0" borderId="0" xfId="0" applyNumberFormat="1" applyFont="1" applyFill="1" applyBorder="1" applyAlignment="1">
      <alignment wrapText="1"/>
    </xf>
    <xf numFmtId="1" fontId="20" fillId="0" borderId="0" xfId="0" applyNumberFormat="1" applyFont="1" applyFill="1" applyBorder="1" applyAlignment="1">
      <alignment wrapText="1"/>
    </xf>
    <xf numFmtId="190" fontId="23" fillId="8" borderId="0" xfId="0" applyNumberFormat="1" applyFont="1" applyFill="1" applyBorder="1" applyAlignment="1">
      <alignment horizontal="center" wrapText="1"/>
    </xf>
    <xf numFmtId="0" fontId="20" fillId="3" borderId="0" xfId="0" applyFont="1" applyFill="1" applyBorder="1" applyAlignment="1">
      <alignment wrapText="1"/>
    </xf>
    <xf numFmtId="190" fontId="22" fillId="3" borderId="0" xfId="0" applyNumberFormat="1" applyFont="1" applyFill="1" applyBorder="1" applyAlignment="1">
      <alignment wrapText="1"/>
    </xf>
    <xf numFmtId="0" fontId="10" fillId="3" borderId="0" xfId="0" applyFont="1" applyFill="1" applyBorder="1" applyAlignment="1">
      <alignment wrapText="1"/>
    </xf>
    <xf numFmtId="190" fontId="3" fillId="3" borderId="0"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0" fillId="0" borderId="0" xfId="0" applyFont="1" applyFill="1" applyBorder="1" applyAlignment="1">
      <alignment horizontal="center"/>
    </xf>
    <xf numFmtId="0" fontId="3" fillId="3" borderId="0" xfId="0" applyFont="1" applyFill="1" applyBorder="1" applyAlignment="1">
      <alignment/>
    </xf>
    <xf numFmtId="49" fontId="3" fillId="3" borderId="0" xfId="0" applyNumberFormat="1" applyFont="1" applyFill="1" applyBorder="1" applyAlignment="1">
      <alignment horizontal="center"/>
    </xf>
    <xf numFmtId="49" fontId="3" fillId="3" borderId="0" xfId="0" applyNumberFormat="1" applyFont="1" applyFill="1" applyBorder="1" applyAlignment="1">
      <alignment horizontal="center" wrapText="1"/>
    </xf>
    <xf numFmtId="0" fontId="3" fillId="3" borderId="0" xfId="0" applyFont="1" applyFill="1" applyBorder="1" applyAlignment="1">
      <alignment wrapText="1"/>
    </xf>
    <xf numFmtId="190" fontId="3" fillId="3" borderId="0" xfId="0" applyNumberFormat="1" applyFont="1" applyFill="1" applyBorder="1" applyAlignment="1">
      <alignment wrapText="1"/>
    </xf>
    <xf numFmtId="190" fontId="0" fillId="3" borderId="0" xfId="0" applyNumberFormat="1" applyFont="1" applyFill="1" applyBorder="1" applyAlignment="1">
      <alignment wrapText="1"/>
    </xf>
    <xf numFmtId="1" fontId="3" fillId="3" borderId="0" xfId="0" applyNumberFormat="1" applyFont="1" applyFill="1" applyBorder="1" applyAlignment="1">
      <alignment wrapText="1"/>
    </xf>
    <xf numFmtId="190" fontId="25" fillId="0" borderId="0" xfId="0" applyNumberFormat="1" applyFont="1" applyFill="1" applyBorder="1" applyAlignment="1" applyProtection="1">
      <alignment/>
      <protection locked="0"/>
    </xf>
    <xf numFmtId="0" fontId="3" fillId="3" borderId="0" xfId="0" applyFont="1" applyFill="1" applyBorder="1" applyAlignment="1">
      <alignment horizontal="left" wrapText="1"/>
    </xf>
    <xf numFmtId="49" fontId="20" fillId="0" borderId="0" xfId="0" applyNumberFormat="1" applyFont="1" applyFill="1" applyBorder="1" applyAlignment="1">
      <alignment horizontal="center"/>
    </xf>
    <xf numFmtId="190" fontId="3" fillId="0" borderId="0" xfId="0" applyNumberFormat="1" applyFont="1" applyFill="1" applyAlignment="1">
      <alignment horizontal="left" wrapText="1"/>
    </xf>
    <xf numFmtId="190" fontId="6" fillId="0" borderId="0" xfId="0" applyNumberFormat="1" applyFont="1" applyFill="1" applyAlignment="1">
      <alignment horizontal="center" wrapText="1"/>
    </xf>
    <xf numFmtId="190" fontId="20" fillId="0" borderId="0" xfId="0" applyNumberFormat="1" applyFont="1" applyFill="1" applyBorder="1" applyAlignment="1">
      <alignment horizontal="right" wrapText="1"/>
    </xf>
    <xf numFmtId="190" fontId="22" fillId="0" borderId="0" xfId="0" applyNumberFormat="1" applyFont="1" applyFill="1" applyBorder="1" applyAlignment="1">
      <alignment horizontal="right" wrapText="1"/>
    </xf>
    <xf numFmtId="49" fontId="12" fillId="0" borderId="10" xfId="0" applyNumberFormat="1" applyFont="1" applyFill="1" applyBorder="1" applyAlignment="1" applyProtection="1">
      <alignment horizontal="center" vertical="center" wrapText="1"/>
      <protection locked="0"/>
    </xf>
    <xf numFmtId="49" fontId="10" fillId="0" borderId="12" xfId="0" applyNumberFormat="1" applyFont="1" applyBorder="1" applyAlignment="1">
      <alignment horizontal="center" wrapText="1"/>
    </xf>
    <xf numFmtId="49" fontId="10" fillId="0" borderId="11" xfId="0" applyNumberFormat="1" applyFont="1" applyBorder="1" applyAlignment="1">
      <alignment horizontal="center" wrapText="1"/>
    </xf>
    <xf numFmtId="193" fontId="10" fillId="0" borderId="12" xfId="0" applyNumberFormat="1" applyFont="1" applyBorder="1" applyAlignment="1" applyProtection="1">
      <alignment horizontal="center" vertical="center" wrapText="1"/>
      <protection locked="0"/>
    </xf>
    <xf numFmtId="193" fontId="10" fillId="0" borderId="11" xfId="0" applyNumberFormat="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 fillId="0" borderId="0" xfId="0" applyFont="1" applyFill="1" applyAlignment="1">
      <alignment horizontal="left" wrapText="1"/>
    </xf>
    <xf numFmtId="49" fontId="6"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05"/>
  <sheetViews>
    <sheetView tabSelected="1" view="pageBreakPreview" zoomScale="50" zoomScaleNormal="50" zoomScaleSheetLayoutView="50" zoomScalePageLayoutView="0" workbookViewId="0" topLeftCell="A10">
      <pane xSplit="4" ySplit="2" topLeftCell="E225" activePane="bottomRight" state="frozen"/>
      <selection pane="topLeft" activeCell="A10" sqref="A10"/>
      <selection pane="topRight" activeCell="D10" sqref="D10"/>
      <selection pane="bottomLeft" activeCell="A12" sqref="A12"/>
      <selection pane="bottomRight" activeCell="D149" sqref="D149"/>
    </sheetView>
  </sheetViews>
  <sheetFormatPr defaultColWidth="9.00390625" defaultRowHeight="12.75"/>
  <cols>
    <col min="1" max="1" width="9.125" style="4" customWidth="1"/>
    <col min="2" max="2" width="16.00390625" style="50" customWidth="1"/>
    <col min="3" max="3" width="16.25390625" style="1" customWidth="1"/>
    <col min="4" max="4" width="66.75390625" style="2" customWidth="1"/>
    <col min="5" max="5" width="22.25390625" style="2" customWidth="1"/>
    <col min="6" max="6" width="18.375" style="2" customWidth="1"/>
    <col min="7" max="7" width="17.375" style="2" customWidth="1"/>
    <col min="8" max="8" width="19.125" style="2" customWidth="1"/>
    <col min="9" max="9" width="17.75390625" style="27" customWidth="1"/>
    <col min="10" max="10" width="15.75390625" style="2" customWidth="1"/>
    <col min="11" max="11" width="15.375" style="2" customWidth="1"/>
    <col min="12" max="12" width="17.375" style="2" customWidth="1"/>
    <col min="13" max="13" width="19.375" style="2" customWidth="1"/>
    <col min="14" max="14" width="16.25390625" style="2" customWidth="1"/>
    <col min="15" max="15" width="18.75390625" style="46" customWidth="1"/>
    <col min="16" max="16" width="19.875" style="4" customWidth="1"/>
    <col min="17" max="17" width="16.75390625" style="4" bestFit="1" customWidth="1"/>
    <col min="18" max="16384" width="9.125" style="4" customWidth="1"/>
  </cols>
  <sheetData>
    <row r="1" spans="2:15" s="13" customFormat="1" ht="26.25">
      <c r="B1" s="50"/>
      <c r="C1" s="1"/>
      <c r="D1" s="12"/>
      <c r="E1" s="12"/>
      <c r="F1" s="12"/>
      <c r="G1" s="12"/>
      <c r="H1" s="12"/>
      <c r="I1" s="27"/>
      <c r="J1" s="12"/>
      <c r="K1" s="12"/>
      <c r="L1" s="201" t="s">
        <v>8</v>
      </c>
      <c r="M1" s="201"/>
      <c r="N1" s="201"/>
      <c r="O1" s="28"/>
    </row>
    <row r="2" spans="2:15" s="13" customFormat="1" ht="21.75" customHeight="1">
      <c r="B2" s="50"/>
      <c r="C2" s="1"/>
      <c r="D2" s="12"/>
      <c r="E2" s="12"/>
      <c r="F2" s="12"/>
      <c r="G2" s="12"/>
      <c r="H2" s="12"/>
      <c r="I2" s="27"/>
      <c r="J2" s="12"/>
      <c r="K2" s="12"/>
      <c r="L2" s="14" t="s">
        <v>223</v>
      </c>
      <c r="M2" s="14"/>
      <c r="N2" s="14"/>
      <c r="O2" s="29"/>
    </row>
    <row r="3" spans="2:15" s="13" customFormat="1" ht="23.25" customHeight="1">
      <c r="B3" s="50"/>
      <c r="C3" s="1"/>
      <c r="D3" s="12"/>
      <c r="E3" s="12"/>
      <c r="F3" s="12"/>
      <c r="G3" s="12"/>
      <c r="H3" s="12"/>
      <c r="I3" s="27"/>
      <c r="J3" s="12"/>
      <c r="K3" s="12"/>
      <c r="L3" s="14" t="s">
        <v>133</v>
      </c>
      <c r="M3" s="14"/>
      <c r="N3" s="14"/>
      <c r="O3" s="28"/>
    </row>
    <row r="4" spans="2:15" s="13" customFormat="1" ht="36" customHeight="1">
      <c r="B4" s="50"/>
      <c r="C4" s="202" t="s">
        <v>134</v>
      </c>
      <c r="D4" s="202"/>
      <c r="E4" s="202"/>
      <c r="F4" s="202"/>
      <c r="G4" s="202"/>
      <c r="H4" s="202"/>
      <c r="I4" s="203"/>
      <c r="J4" s="202"/>
      <c r="K4" s="202"/>
      <c r="L4" s="202"/>
      <c r="M4" s="202"/>
      <c r="N4" s="202"/>
      <c r="O4" s="202"/>
    </row>
    <row r="5" spans="2:15" s="13" customFormat="1" ht="24" customHeight="1">
      <c r="B5" s="50"/>
      <c r="C5" s="202" t="s">
        <v>98</v>
      </c>
      <c r="D5" s="202"/>
      <c r="E5" s="202"/>
      <c r="F5" s="202"/>
      <c r="G5" s="202"/>
      <c r="H5" s="202"/>
      <c r="I5" s="203"/>
      <c r="J5" s="202"/>
      <c r="K5" s="202"/>
      <c r="L5" s="202"/>
      <c r="M5" s="202"/>
      <c r="N5" s="202"/>
      <c r="O5" s="202"/>
    </row>
    <row r="6" spans="13:15" ht="18.75">
      <c r="M6" s="204" t="s">
        <v>67</v>
      </c>
      <c r="N6" s="204"/>
      <c r="O6" s="204"/>
    </row>
    <row r="7" spans="2:15" s="16" customFormat="1" ht="65.25" customHeight="1">
      <c r="B7" s="192" t="s">
        <v>111</v>
      </c>
      <c r="C7" s="194" t="s">
        <v>216</v>
      </c>
      <c r="D7" s="196" t="s">
        <v>112</v>
      </c>
      <c r="E7" s="198" t="s">
        <v>27</v>
      </c>
      <c r="F7" s="200"/>
      <c r="G7" s="200"/>
      <c r="H7" s="198" t="s">
        <v>69</v>
      </c>
      <c r="I7" s="198"/>
      <c r="J7" s="198"/>
      <c r="K7" s="198"/>
      <c r="L7" s="198"/>
      <c r="M7" s="198"/>
      <c r="N7" s="198"/>
      <c r="O7" s="199" t="s">
        <v>42</v>
      </c>
    </row>
    <row r="8" spans="2:15" s="16" customFormat="1" ht="12.75" customHeight="1">
      <c r="B8" s="193"/>
      <c r="C8" s="195"/>
      <c r="D8" s="197"/>
      <c r="E8" s="191" t="s">
        <v>41</v>
      </c>
      <c r="F8" s="191" t="s">
        <v>28</v>
      </c>
      <c r="G8" s="191"/>
      <c r="H8" s="191" t="s">
        <v>41</v>
      </c>
      <c r="I8" s="191" t="s">
        <v>29</v>
      </c>
      <c r="J8" s="191" t="s">
        <v>28</v>
      </c>
      <c r="K8" s="191"/>
      <c r="L8" s="191" t="s">
        <v>36</v>
      </c>
      <c r="M8" s="191" t="s">
        <v>28</v>
      </c>
      <c r="N8" s="191"/>
      <c r="O8" s="199"/>
    </row>
    <row r="9" spans="2:15" s="16" customFormat="1" ht="12.75" customHeight="1">
      <c r="B9" s="193"/>
      <c r="C9" s="195"/>
      <c r="D9" s="197"/>
      <c r="E9" s="191"/>
      <c r="F9" s="191" t="s">
        <v>37</v>
      </c>
      <c r="G9" s="191" t="s">
        <v>38</v>
      </c>
      <c r="H9" s="191"/>
      <c r="I9" s="191"/>
      <c r="J9" s="191" t="s">
        <v>37</v>
      </c>
      <c r="K9" s="191" t="s">
        <v>38</v>
      </c>
      <c r="L9" s="191"/>
      <c r="M9" s="191" t="s">
        <v>118</v>
      </c>
      <c r="N9" s="30" t="s">
        <v>28</v>
      </c>
      <c r="O9" s="199"/>
    </row>
    <row r="10" spans="2:15" s="16" customFormat="1" ht="192.75" customHeight="1">
      <c r="B10" s="193"/>
      <c r="C10" s="195"/>
      <c r="D10" s="197"/>
      <c r="E10" s="191"/>
      <c r="F10" s="191"/>
      <c r="G10" s="191"/>
      <c r="H10" s="191"/>
      <c r="I10" s="191"/>
      <c r="J10" s="191"/>
      <c r="K10" s="191"/>
      <c r="L10" s="191"/>
      <c r="M10" s="191"/>
      <c r="N10" s="30" t="s">
        <v>119</v>
      </c>
      <c r="O10" s="199"/>
    </row>
    <row r="11" spans="2:15" s="16" customFormat="1" ht="17.25" customHeight="1">
      <c r="B11" s="53" t="s">
        <v>231</v>
      </c>
      <c r="C11" s="49">
        <v>2</v>
      </c>
      <c r="D11" s="52">
        <v>3</v>
      </c>
      <c r="E11" s="32">
        <v>4</v>
      </c>
      <c r="F11" s="32">
        <v>5</v>
      </c>
      <c r="G11" s="32">
        <v>6</v>
      </c>
      <c r="H11" s="31">
        <v>7</v>
      </c>
      <c r="I11" s="31">
        <v>8</v>
      </c>
      <c r="J11" s="31">
        <v>9</v>
      </c>
      <c r="K11" s="31">
        <v>10</v>
      </c>
      <c r="L11" s="31">
        <v>11</v>
      </c>
      <c r="M11" s="31">
        <v>12</v>
      </c>
      <c r="N11" s="31">
        <v>13</v>
      </c>
      <c r="O11" s="31" t="s">
        <v>232</v>
      </c>
    </row>
    <row r="12" spans="2:15" s="16" customFormat="1" ht="17.25" customHeight="1">
      <c r="B12" s="60"/>
      <c r="C12" s="59"/>
      <c r="D12" s="61"/>
      <c r="E12" s="62"/>
      <c r="F12" s="62"/>
      <c r="G12" s="62"/>
      <c r="H12" s="63"/>
      <c r="I12" s="63"/>
      <c r="J12" s="63"/>
      <c r="K12" s="63"/>
      <c r="L12" s="63"/>
      <c r="M12" s="63"/>
      <c r="N12" s="63"/>
      <c r="O12" s="63"/>
    </row>
    <row r="13" spans="2:16" s="104" customFormat="1" ht="48.75" customHeight="1">
      <c r="B13" s="101" t="s">
        <v>432</v>
      </c>
      <c r="C13" s="95"/>
      <c r="D13" s="102" t="s">
        <v>469</v>
      </c>
      <c r="E13" s="96"/>
      <c r="F13" s="96"/>
      <c r="G13" s="96"/>
      <c r="H13" s="96"/>
      <c r="I13" s="96"/>
      <c r="J13" s="96"/>
      <c r="K13" s="96"/>
      <c r="L13" s="96"/>
      <c r="M13" s="96"/>
      <c r="N13" s="96"/>
      <c r="O13" s="96"/>
      <c r="P13" s="103"/>
    </row>
    <row r="14" spans="2:16" s="10" customFormat="1" ht="56.25" customHeight="1">
      <c r="B14" s="64" t="s">
        <v>441</v>
      </c>
      <c r="C14" s="7"/>
      <c r="D14" s="65" t="s">
        <v>470</v>
      </c>
      <c r="E14" s="20"/>
      <c r="F14" s="20"/>
      <c r="G14" s="20"/>
      <c r="H14" s="20"/>
      <c r="I14" s="20"/>
      <c r="J14" s="20"/>
      <c r="K14" s="20"/>
      <c r="L14" s="20"/>
      <c r="M14" s="20"/>
      <c r="N14" s="20"/>
      <c r="O14" s="20"/>
      <c r="P14" s="44"/>
    </row>
    <row r="15" spans="1:15" s="136" customFormat="1" ht="90" customHeight="1">
      <c r="A15" s="136">
        <v>1</v>
      </c>
      <c r="B15" s="122" t="s">
        <v>433</v>
      </c>
      <c r="C15" s="123" t="s">
        <v>43</v>
      </c>
      <c r="D15" s="173" t="s">
        <v>186</v>
      </c>
      <c r="E15" s="125">
        <f>SUM(E16:E17)</f>
        <v>5065.54856</v>
      </c>
      <c r="F15" s="125">
        <f aca="true" t="shared" si="0" ref="F15:N15">SUM(F16:F17)</f>
        <v>2963.0029999999997</v>
      </c>
      <c r="G15" s="125">
        <f t="shared" si="0"/>
        <v>78.6</v>
      </c>
      <c r="H15" s="133">
        <f>I15+L15</f>
        <v>561.201</v>
      </c>
      <c r="I15" s="125">
        <f t="shared" si="0"/>
        <v>23.5</v>
      </c>
      <c r="J15" s="125">
        <f t="shared" si="0"/>
        <v>0</v>
      </c>
      <c r="K15" s="125">
        <f t="shared" si="0"/>
        <v>0</v>
      </c>
      <c r="L15" s="125">
        <f t="shared" si="0"/>
        <v>537.701</v>
      </c>
      <c r="M15" s="125">
        <f t="shared" si="0"/>
        <v>525.7009999999999</v>
      </c>
      <c r="N15" s="125">
        <f t="shared" si="0"/>
        <v>408.89000000000004</v>
      </c>
      <c r="O15" s="135">
        <f>E15+H15</f>
        <v>5626.74956</v>
      </c>
    </row>
    <row r="16" spans="2:15" s="10" customFormat="1" ht="43.5" customHeight="1">
      <c r="B16" s="66"/>
      <c r="C16" s="7" t="s">
        <v>43</v>
      </c>
      <c r="D16" s="70" t="s">
        <v>30</v>
      </c>
      <c r="E16" s="71">
        <f>5381+129.09256-300-25-99.877-57.32</f>
        <v>5027.89556</v>
      </c>
      <c r="F16" s="71">
        <f>3009.7-46.697</f>
        <v>2963.0029999999997</v>
      </c>
      <c r="G16" s="71">
        <v>78.6</v>
      </c>
      <c r="H16" s="68">
        <f>I16+L16</f>
        <v>561.201</v>
      </c>
      <c r="I16" s="71">
        <v>23.5</v>
      </c>
      <c r="J16" s="71"/>
      <c r="K16" s="71"/>
      <c r="L16" s="71">
        <f>100+12+18.401+460+25-77.7</f>
        <v>537.701</v>
      </c>
      <c r="M16" s="71">
        <f>100+18.401+460+25-77.7</f>
        <v>525.7009999999999</v>
      </c>
      <c r="N16" s="71">
        <f>100+18.401+300+43.189+25-77.7</f>
        <v>408.89000000000004</v>
      </c>
      <c r="O16" s="69">
        <f>E16+H16</f>
        <v>5589.09656</v>
      </c>
    </row>
    <row r="17" spans="2:15" s="10" customFormat="1" ht="66" customHeight="1">
      <c r="B17" s="66"/>
      <c r="C17" s="7" t="s">
        <v>43</v>
      </c>
      <c r="D17" s="72" t="s">
        <v>31</v>
      </c>
      <c r="E17" s="20">
        <f>40+2.653-5</f>
        <v>37.653</v>
      </c>
      <c r="F17" s="20"/>
      <c r="G17" s="20"/>
      <c r="H17" s="20">
        <f aca="true" t="shared" si="1" ref="H17:H71">I17+L17</f>
        <v>0</v>
      </c>
      <c r="I17" s="73"/>
      <c r="J17" s="20"/>
      <c r="K17" s="20"/>
      <c r="L17" s="20"/>
      <c r="M17" s="20"/>
      <c r="N17" s="20"/>
      <c r="O17" s="20">
        <f aca="true" t="shared" si="2" ref="O17:O42">E17+H17</f>
        <v>37.653</v>
      </c>
    </row>
    <row r="18" spans="2:15" s="10" customFormat="1" ht="60" customHeight="1" hidden="1">
      <c r="B18" s="66"/>
      <c r="C18" s="7" t="s">
        <v>176</v>
      </c>
      <c r="D18" s="67" t="s">
        <v>201</v>
      </c>
      <c r="E18" s="20"/>
      <c r="F18" s="20"/>
      <c r="G18" s="20"/>
      <c r="H18" s="20">
        <f t="shared" si="1"/>
        <v>0</v>
      </c>
      <c r="I18" s="73"/>
      <c r="J18" s="20"/>
      <c r="K18" s="20"/>
      <c r="L18" s="20"/>
      <c r="M18" s="20"/>
      <c r="N18" s="20"/>
      <c r="O18" s="20">
        <f t="shared" si="2"/>
        <v>0</v>
      </c>
    </row>
    <row r="19" spans="2:15" s="126" customFormat="1" ht="34.5" customHeight="1">
      <c r="B19" s="122" t="s">
        <v>436</v>
      </c>
      <c r="C19" s="123"/>
      <c r="D19" s="127" t="s">
        <v>437</v>
      </c>
      <c r="E19" s="125">
        <f>SUM(E20:E21)</f>
        <v>390</v>
      </c>
      <c r="F19" s="125">
        <f aca="true" t="shared" si="3" ref="F19:N19">F21</f>
        <v>0</v>
      </c>
      <c r="G19" s="125">
        <f t="shared" si="3"/>
        <v>0</v>
      </c>
      <c r="H19" s="125">
        <f t="shared" si="3"/>
        <v>0</v>
      </c>
      <c r="I19" s="125">
        <f t="shared" si="3"/>
        <v>0</v>
      </c>
      <c r="J19" s="125">
        <f t="shared" si="3"/>
        <v>0</v>
      </c>
      <c r="K19" s="125">
        <f t="shared" si="3"/>
        <v>0</v>
      </c>
      <c r="L19" s="125">
        <f t="shared" si="3"/>
        <v>0</v>
      </c>
      <c r="M19" s="125">
        <f t="shared" si="3"/>
        <v>0</v>
      </c>
      <c r="N19" s="125">
        <f t="shared" si="3"/>
        <v>0</v>
      </c>
      <c r="O19" s="125">
        <f t="shared" si="2"/>
        <v>390</v>
      </c>
    </row>
    <row r="20" spans="1:15" s="79" customFormat="1" ht="96" customHeight="1">
      <c r="A20" s="79">
        <v>2</v>
      </c>
      <c r="B20" s="74" t="s">
        <v>121</v>
      </c>
      <c r="C20" s="75" t="s">
        <v>176</v>
      </c>
      <c r="D20" s="117" t="s">
        <v>122</v>
      </c>
      <c r="E20" s="77">
        <v>10</v>
      </c>
      <c r="F20" s="77"/>
      <c r="G20" s="77"/>
      <c r="H20" s="77"/>
      <c r="I20" s="77"/>
      <c r="J20" s="77"/>
      <c r="K20" s="77"/>
      <c r="L20" s="77"/>
      <c r="M20" s="77"/>
      <c r="N20" s="77"/>
      <c r="O20" s="77">
        <f t="shared" si="2"/>
        <v>10</v>
      </c>
    </row>
    <row r="21" spans="1:15" s="79" customFormat="1" ht="116.25" customHeight="1">
      <c r="A21" s="79">
        <v>3</v>
      </c>
      <c r="B21" s="74" t="s">
        <v>434</v>
      </c>
      <c r="C21" s="75" t="s">
        <v>21</v>
      </c>
      <c r="D21" s="76" t="s">
        <v>435</v>
      </c>
      <c r="E21" s="77">
        <f>380</f>
        <v>380</v>
      </c>
      <c r="F21" s="77"/>
      <c r="G21" s="77"/>
      <c r="H21" s="77">
        <f t="shared" si="1"/>
        <v>0</v>
      </c>
      <c r="I21" s="78"/>
      <c r="J21" s="77"/>
      <c r="K21" s="77"/>
      <c r="L21" s="77"/>
      <c r="M21" s="77"/>
      <c r="N21" s="77"/>
      <c r="O21" s="77">
        <f t="shared" si="2"/>
        <v>380</v>
      </c>
    </row>
    <row r="22" spans="1:15" s="10" customFormat="1" ht="94.5" customHeight="1">
      <c r="A22" s="10">
        <v>4</v>
      </c>
      <c r="B22" s="66" t="s">
        <v>226</v>
      </c>
      <c r="C22" s="7" t="s">
        <v>64</v>
      </c>
      <c r="D22" s="80" t="s">
        <v>438</v>
      </c>
      <c r="E22" s="20"/>
      <c r="F22" s="20"/>
      <c r="G22" s="20"/>
      <c r="H22" s="20">
        <f t="shared" si="1"/>
        <v>492.41399999999993</v>
      </c>
      <c r="I22" s="73"/>
      <c r="J22" s="20"/>
      <c r="K22" s="20"/>
      <c r="L22" s="20">
        <f>453.5+330+68.214-50-17-10-282.3</f>
        <v>492.41399999999993</v>
      </c>
      <c r="M22" s="20">
        <f>453.5+330+68.214-50-17-10-282.3</f>
        <v>492.41399999999993</v>
      </c>
      <c r="N22" s="20">
        <f>186-186</f>
        <v>0</v>
      </c>
      <c r="O22" s="20">
        <f t="shared" si="2"/>
        <v>492.41399999999993</v>
      </c>
    </row>
    <row r="23" spans="2:15" s="33" customFormat="1" ht="180.75" customHeight="1" hidden="1">
      <c r="B23" s="66"/>
      <c r="C23" s="7" t="s">
        <v>64</v>
      </c>
      <c r="D23" s="81" t="s">
        <v>97</v>
      </c>
      <c r="E23" s="19"/>
      <c r="F23" s="19"/>
      <c r="G23" s="19"/>
      <c r="H23" s="68">
        <f t="shared" si="1"/>
        <v>0</v>
      </c>
      <c r="I23" s="19"/>
      <c r="J23" s="19"/>
      <c r="K23" s="19"/>
      <c r="L23" s="20"/>
      <c r="M23" s="20"/>
      <c r="N23" s="19"/>
      <c r="O23" s="69">
        <f t="shared" si="2"/>
        <v>0</v>
      </c>
    </row>
    <row r="24" spans="1:15" s="10" customFormat="1" ht="56.25" customHeight="1" hidden="1">
      <c r="A24" s="10">
        <v>5</v>
      </c>
      <c r="B24" s="66" t="s">
        <v>227</v>
      </c>
      <c r="C24" s="7" t="s">
        <v>165</v>
      </c>
      <c r="D24" s="82" t="s">
        <v>439</v>
      </c>
      <c r="E24" s="20">
        <f>100-10-35-55</f>
        <v>0</v>
      </c>
      <c r="F24" s="20"/>
      <c r="G24" s="20"/>
      <c r="H24" s="20">
        <f t="shared" si="1"/>
        <v>0</v>
      </c>
      <c r="I24" s="73"/>
      <c r="J24" s="20"/>
      <c r="K24" s="20"/>
      <c r="L24" s="20"/>
      <c r="M24" s="20"/>
      <c r="N24" s="20"/>
      <c r="O24" s="20">
        <f t="shared" si="2"/>
        <v>0</v>
      </c>
    </row>
    <row r="25" spans="1:15" s="126" customFormat="1" ht="56.25" customHeight="1">
      <c r="A25" s="126">
        <v>5</v>
      </c>
      <c r="B25" s="122" t="s">
        <v>228</v>
      </c>
      <c r="C25" s="123" t="s">
        <v>92</v>
      </c>
      <c r="D25" s="151" t="s">
        <v>32</v>
      </c>
      <c r="E25" s="125">
        <f>SUM(E26:E27)</f>
        <v>8.14347</v>
      </c>
      <c r="F25" s="125">
        <f aca="true" t="shared" si="4" ref="F25:N25">SUM(F26:F27)</f>
        <v>0</v>
      </c>
      <c r="G25" s="125">
        <f t="shared" si="4"/>
        <v>0</v>
      </c>
      <c r="H25" s="125">
        <f t="shared" si="1"/>
        <v>0</v>
      </c>
      <c r="I25" s="125">
        <f t="shared" si="4"/>
        <v>0</v>
      </c>
      <c r="J25" s="125">
        <f t="shared" si="4"/>
        <v>0</v>
      </c>
      <c r="K25" s="125">
        <f t="shared" si="4"/>
        <v>0</v>
      </c>
      <c r="L25" s="125">
        <f t="shared" si="4"/>
        <v>0</v>
      </c>
      <c r="M25" s="125">
        <f t="shared" si="4"/>
        <v>0</v>
      </c>
      <c r="N25" s="125">
        <f t="shared" si="4"/>
        <v>0</v>
      </c>
      <c r="O25" s="125">
        <f t="shared" si="2"/>
        <v>8.14347</v>
      </c>
    </row>
    <row r="26" spans="2:15" s="10" customFormat="1" ht="78" customHeight="1">
      <c r="B26" s="66"/>
      <c r="C26" s="7" t="s">
        <v>92</v>
      </c>
      <c r="D26" s="82" t="s">
        <v>34</v>
      </c>
      <c r="E26" s="20">
        <f>20+0.385-5-13</f>
        <v>2.3850000000000016</v>
      </c>
      <c r="F26" s="20"/>
      <c r="G26" s="20"/>
      <c r="H26" s="20">
        <f t="shared" si="1"/>
        <v>0</v>
      </c>
      <c r="I26" s="73"/>
      <c r="J26" s="20"/>
      <c r="K26" s="20"/>
      <c r="L26" s="20"/>
      <c r="M26" s="20"/>
      <c r="N26" s="20"/>
      <c r="O26" s="20">
        <f t="shared" si="2"/>
        <v>2.3850000000000016</v>
      </c>
    </row>
    <row r="27" spans="2:15" s="10" customFormat="1" ht="59.25" customHeight="1">
      <c r="B27" s="66"/>
      <c r="C27" s="7" t="s">
        <v>92</v>
      </c>
      <c r="D27" s="83" t="s">
        <v>33</v>
      </c>
      <c r="E27" s="20">
        <f>20+0.75847-5-10</f>
        <v>5.758469999999999</v>
      </c>
      <c r="F27" s="20"/>
      <c r="G27" s="20"/>
      <c r="H27" s="20">
        <f t="shared" si="1"/>
        <v>0</v>
      </c>
      <c r="I27" s="73"/>
      <c r="J27" s="20"/>
      <c r="K27" s="20"/>
      <c r="L27" s="20"/>
      <c r="M27" s="20"/>
      <c r="N27" s="20"/>
      <c r="O27" s="20">
        <f t="shared" si="2"/>
        <v>5.758469999999999</v>
      </c>
    </row>
    <row r="28" spans="2:15" s="10" customFormat="1" ht="121.5" customHeight="1" hidden="1">
      <c r="B28" s="66"/>
      <c r="C28" s="7" t="s">
        <v>92</v>
      </c>
      <c r="D28" s="83" t="s">
        <v>202</v>
      </c>
      <c r="E28" s="20"/>
      <c r="F28" s="20"/>
      <c r="G28" s="20"/>
      <c r="H28" s="20">
        <f t="shared" si="1"/>
        <v>0</v>
      </c>
      <c r="I28" s="73"/>
      <c r="J28" s="20"/>
      <c r="K28" s="20"/>
      <c r="L28" s="20"/>
      <c r="M28" s="20"/>
      <c r="N28" s="20"/>
      <c r="O28" s="20">
        <f t="shared" si="2"/>
        <v>0</v>
      </c>
    </row>
    <row r="29" spans="2:15" s="10" customFormat="1" ht="177" customHeight="1" hidden="1">
      <c r="B29" s="66"/>
      <c r="C29" s="7" t="s">
        <v>92</v>
      </c>
      <c r="D29" s="83" t="s">
        <v>128</v>
      </c>
      <c r="E29" s="20"/>
      <c r="F29" s="20"/>
      <c r="G29" s="20"/>
      <c r="H29" s="20">
        <f t="shared" si="1"/>
        <v>0</v>
      </c>
      <c r="I29" s="73"/>
      <c r="J29" s="20"/>
      <c r="K29" s="20"/>
      <c r="L29" s="20"/>
      <c r="M29" s="20"/>
      <c r="N29" s="20"/>
      <c r="O29" s="20">
        <f t="shared" si="2"/>
        <v>0</v>
      </c>
    </row>
    <row r="30" spans="2:15" s="10" customFormat="1" ht="82.5" customHeight="1">
      <c r="B30" s="66" t="s">
        <v>229</v>
      </c>
      <c r="C30" s="7" t="s">
        <v>209</v>
      </c>
      <c r="D30" s="83" t="s">
        <v>424</v>
      </c>
      <c r="E30" s="20">
        <f>10-5</f>
        <v>5</v>
      </c>
      <c r="F30" s="20"/>
      <c r="G30" s="20"/>
      <c r="H30" s="20">
        <f t="shared" si="1"/>
        <v>0</v>
      </c>
      <c r="I30" s="73"/>
      <c r="J30" s="20"/>
      <c r="K30" s="20"/>
      <c r="L30" s="20"/>
      <c r="M30" s="20"/>
      <c r="N30" s="20"/>
      <c r="O30" s="20">
        <f t="shared" si="2"/>
        <v>5</v>
      </c>
    </row>
    <row r="31" spans="2:15" s="10" customFormat="1" ht="35.25" customHeight="1" hidden="1">
      <c r="B31" s="66"/>
      <c r="C31" s="7" t="s">
        <v>92</v>
      </c>
      <c r="D31" s="83" t="s">
        <v>212</v>
      </c>
      <c r="E31" s="20"/>
      <c r="F31" s="20"/>
      <c r="G31" s="20"/>
      <c r="H31" s="20">
        <f t="shared" si="1"/>
        <v>0</v>
      </c>
      <c r="I31" s="73"/>
      <c r="J31" s="20"/>
      <c r="K31" s="20"/>
      <c r="L31" s="20"/>
      <c r="M31" s="20"/>
      <c r="N31" s="20"/>
      <c r="O31" s="20">
        <f t="shared" si="2"/>
        <v>0</v>
      </c>
    </row>
    <row r="32" spans="2:15" s="10" customFormat="1" ht="94.5" customHeight="1" hidden="1">
      <c r="B32" s="66"/>
      <c r="C32" s="7" t="s">
        <v>160</v>
      </c>
      <c r="D32" s="67" t="s">
        <v>142</v>
      </c>
      <c r="E32" s="20"/>
      <c r="F32" s="20"/>
      <c r="G32" s="20"/>
      <c r="H32" s="20">
        <f t="shared" si="1"/>
        <v>0</v>
      </c>
      <c r="I32" s="20"/>
      <c r="J32" s="20"/>
      <c r="K32" s="20"/>
      <c r="L32" s="20"/>
      <c r="M32" s="20"/>
      <c r="N32" s="20"/>
      <c r="O32" s="20">
        <f t="shared" si="2"/>
        <v>0</v>
      </c>
    </row>
    <row r="33" spans="2:15" s="33" customFormat="1" ht="66" customHeight="1" hidden="1">
      <c r="B33" s="66"/>
      <c r="C33" s="7" t="s">
        <v>225</v>
      </c>
      <c r="D33" s="82" t="s">
        <v>9</v>
      </c>
      <c r="E33" s="19"/>
      <c r="F33" s="19"/>
      <c r="G33" s="19"/>
      <c r="H33" s="20">
        <f t="shared" si="1"/>
        <v>0</v>
      </c>
      <c r="I33" s="19"/>
      <c r="J33" s="19"/>
      <c r="K33" s="19"/>
      <c r="L33" s="19"/>
      <c r="M33" s="19"/>
      <c r="N33" s="19"/>
      <c r="O33" s="69">
        <f t="shared" si="2"/>
        <v>0</v>
      </c>
    </row>
    <row r="34" spans="2:15" s="136" customFormat="1" ht="30.75" customHeight="1">
      <c r="B34" s="178" t="s">
        <v>181</v>
      </c>
      <c r="C34" s="179"/>
      <c r="D34" s="151" t="s">
        <v>182</v>
      </c>
      <c r="E34" s="125">
        <f>E35</f>
        <v>62.55367</v>
      </c>
      <c r="F34" s="125">
        <f aca="true" t="shared" si="5" ref="F34:O34">F35</f>
        <v>30.523639999999997</v>
      </c>
      <c r="G34" s="125">
        <f t="shared" si="5"/>
        <v>0.19514000000000004</v>
      </c>
      <c r="H34" s="125">
        <f t="shared" si="5"/>
        <v>0</v>
      </c>
      <c r="I34" s="125">
        <f t="shared" si="5"/>
        <v>0</v>
      </c>
      <c r="J34" s="125">
        <f t="shared" si="5"/>
        <v>0</v>
      </c>
      <c r="K34" s="125">
        <f t="shared" si="5"/>
        <v>0</v>
      </c>
      <c r="L34" s="125">
        <f t="shared" si="5"/>
        <v>0</v>
      </c>
      <c r="M34" s="125">
        <f t="shared" si="5"/>
        <v>0</v>
      </c>
      <c r="N34" s="125">
        <f t="shared" si="5"/>
        <v>0</v>
      </c>
      <c r="O34" s="125">
        <f t="shared" si="5"/>
        <v>62.55367</v>
      </c>
    </row>
    <row r="35" spans="2:15" s="34" customFormat="1" ht="66" customHeight="1">
      <c r="B35" s="186" t="s">
        <v>180</v>
      </c>
      <c r="C35" s="175" t="s">
        <v>225</v>
      </c>
      <c r="D35" s="169" t="s">
        <v>10</v>
      </c>
      <c r="E35" s="77">
        <f>67.5-4.94633</f>
        <v>62.55367</v>
      </c>
      <c r="F35" s="77">
        <f>32.8-2.27636</f>
        <v>30.523639999999997</v>
      </c>
      <c r="G35" s="77">
        <f>0.65-0.45486</f>
        <v>0.19514000000000004</v>
      </c>
      <c r="H35" s="77">
        <f t="shared" si="1"/>
        <v>0</v>
      </c>
      <c r="I35" s="131"/>
      <c r="J35" s="131"/>
      <c r="K35" s="131"/>
      <c r="L35" s="131"/>
      <c r="M35" s="131"/>
      <c r="N35" s="131"/>
      <c r="O35" s="132">
        <f t="shared" si="2"/>
        <v>62.55367</v>
      </c>
    </row>
    <row r="36" spans="2:15" s="33" customFormat="1" ht="102" customHeight="1" hidden="1">
      <c r="B36" s="66"/>
      <c r="C36" s="7" t="s">
        <v>148</v>
      </c>
      <c r="D36" s="82" t="s">
        <v>178</v>
      </c>
      <c r="E36" s="19"/>
      <c r="F36" s="19"/>
      <c r="G36" s="19"/>
      <c r="H36" s="68">
        <f>I36+L36</f>
        <v>0</v>
      </c>
      <c r="I36" s="19"/>
      <c r="J36" s="19"/>
      <c r="K36" s="19"/>
      <c r="L36" s="19"/>
      <c r="M36" s="19"/>
      <c r="N36" s="19"/>
      <c r="O36" s="69">
        <f t="shared" si="2"/>
        <v>0</v>
      </c>
    </row>
    <row r="37" spans="2:15" s="10" customFormat="1" ht="84.75" customHeight="1" hidden="1">
      <c r="B37" s="66"/>
      <c r="C37" s="7" t="s">
        <v>170</v>
      </c>
      <c r="D37" s="67" t="s">
        <v>131</v>
      </c>
      <c r="E37" s="19"/>
      <c r="F37" s="20"/>
      <c r="G37" s="20"/>
      <c r="H37" s="20">
        <f t="shared" si="1"/>
        <v>0</v>
      </c>
      <c r="I37" s="20"/>
      <c r="J37" s="20"/>
      <c r="K37" s="20"/>
      <c r="L37" s="20"/>
      <c r="M37" s="20"/>
      <c r="N37" s="20"/>
      <c r="O37" s="20">
        <f t="shared" si="2"/>
        <v>0</v>
      </c>
    </row>
    <row r="38" spans="2:15" s="177" customFormat="1" ht="36.75" customHeight="1">
      <c r="B38" s="178" t="s">
        <v>440</v>
      </c>
      <c r="C38" s="179" t="s">
        <v>44</v>
      </c>
      <c r="D38" s="180" t="s">
        <v>310</v>
      </c>
      <c r="E38" s="181">
        <f>E39</f>
        <v>126.07133999999999</v>
      </c>
      <c r="F38" s="181">
        <f aca="true" t="shared" si="6" ref="F38:O38">F39</f>
        <v>0</v>
      </c>
      <c r="G38" s="181">
        <f t="shared" si="6"/>
        <v>0</v>
      </c>
      <c r="H38" s="181">
        <f t="shared" si="6"/>
        <v>0</v>
      </c>
      <c r="I38" s="181">
        <f t="shared" si="6"/>
        <v>0</v>
      </c>
      <c r="J38" s="181">
        <f t="shared" si="6"/>
        <v>0</v>
      </c>
      <c r="K38" s="181">
        <f t="shared" si="6"/>
        <v>0</v>
      </c>
      <c r="L38" s="181">
        <f t="shared" si="6"/>
        <v>0</v>
      </c>
      <c r="M38" s="181">
        <f t="shared" si="6"/>
        <v>0</v>
      </c>
      <c r="N38" s="181">
        <f t="shared" si="6"/>
        <v>0</v>
      </c>
      <c r="O38" s="181">
        <f t="shared" si="6"/>
        <v>126.07133999999999</v>
      </c>
    </row>
    <row r="39" spans="1:15" s="79" customFormat="1" ht="31.5" customHeight="1">
      <c r="A39" s="79">
        <v>8</v>
      </c>
      <c r="B39" s="74" t="s">
        <v>55</v>
      </c>
      <c r="C39" s="176">
        <v>250404</v>
      </c>
      <c r="D39" s="112" t="s">
        <v>161</v>
      </c>
      <c r="E39" s="77">
        <f>125+6.67134-7.1+1.5</f>
        <v>126.07133999999999</v>
      </c>
      <c r="F39" s="77"/>
      <c r="G39" s="77"/>
      <c r="H39" s="77">
        <f t="shared" si="1"/>
        <v>0</v>
      </c>
      <c r="I39" s="78"/>
      <c r="J39" s="77"/>
      <c r="K39" s="77"/>
      <c r="L39" s="77"/>
      <c r="M39" s="77"/>
      <c r="N39" s="77"/>
      <c r="O39" s="77">
        <f t="shared" si="2"/>
        <v>126.07133999999999</v>
      </c>
    </row>
    <row r="40" spans="2:16" s="100" customFormat="1" ht="31.5" customHeight="1">
      <c r="B40" s="85"/>
      <c r="C40" s="86"/>
      <c r="D40" s="97" t="s">
        <v>442</v>
      </c>
      <c r="E40" s="98">
        <f>E15+E19+E22+E24+E25+E30+E34+E38</f>
        <v>5657.317040000001</v>
      </c>
      <c r="F40" s="98">
        <f aca="true" t="shared" si="7" ref="F40:O40">F15+F19+F22+F24+F25+F30+F34+F38</f>
        <v>2993.5266399999996</v>
      </c>
      <c r="G40" s="98">
        <f t="shared" si="7"/>
        <v>78.79513999999999</v>
      </c>
      <c r="H40" s="98">
        <f t="shared" si="7"/>
        <v>1053.615</v>
      </c>
      <c r="I40" s="98">
        <f t="shared" si="7"/>
        <v>23.5</v>
      </c>
      <c r="J40" s="98">
        <f t="shared" si="7"/>
        <v>0</v>
      </c>
      <c r="K40" s="98">
        <f t="shared" si="7"/>
        <v>0</v>
      </c>
      <c r="L40" s="98">
        <f t="shared" si="7"/>
        <v>1030.115</v>
      </c>
      <c r="M40" s="98">
        <f t="shared" si="7"/>
        <v>1018.1149999999998</v>
      </c>
      <c r="N40" s="98">
        <f t="shared" si="7"/>
        <v>408.89000000000004</v>
      </c>
      <c r="O40" s="98">
        <f t="shared" si="7"/>
        <v>6710.932040000001</v>
      </c>
      <c r="P40" s="99">
        <f>E40+H40</f>
        <v>6710.932040000001</v>
      </c>
    </row>
    <row r="41" spans="2:16" s="104" customFormat="1" ht="45.75" customHeight="1">
      <c r="B41" s="101" t="s">
        <v>445</v>
      </c>
      <c r="C41" s="105" t="s">
        <v>221</v>
      </c>
      <c r="D41" s="102" t="s">
        <v>476</v>
      </c>
      <c r="E41" s="96"/>
      <c r="F41" s="96"/>
      <c r="G41" s="96"/>
      <c r="H41" s="96"/>
      <c r="I41" s="96"/>
      <c r="J41" s="96"/>
      <c r="K41" s="96"/>
      <c r="L41" s="96"/>
      <c r="M41" s="96"/>
      <c r="N41" s="96"/>
      <c r="O41" s="96"/>
      <c r="P41" s="103"/>
    </row>
    <row r="42" spans="2:15" s="10" customFormat="1" ht="39.75" customHeight="1" hidden="1">
      <c r="B42" s="64" t="s">
        <v>445</v>
      </c>
      <c r="C42" s="105" t="s">
        <v>221</v>
      </c>
      <c r="D42" s="102" t="s">
        <v>23</v>
      </c>
      <c r="E42" s="20"/>
      <c r="F42" s="20"/>
      <c r="G42" s="20"/>
      <c r="H42" s="20">
        <f t="shared" si="1"/>
        <v>0</v>
      </c>
      <c r="I42" s="20"/>
      <c r="J42" s="20"/>
      <c r="K42" s="20"/>
      <c r="L42" s="20"/>
      <c r="M42" s="20"/>
      <c r="N42" s="20"/>
      <c r="O42" s="20">
        <f t="shared" si="2"/>
        <v>0</v>
      </c>
    </row>
    <row r="43" spans="2:15" s="10" customFormat="1" ht="45.75" customHeight="1">
      <c r="B43" s="64" t="s">
        <v>446</v>
      </c>
      <c r="C43" s="107" t="s">
        <v>221</v>
      </c>
      <c r="D43" s="65" t="s">
        <v>471</v>
      </c>
      <c r="E43" s="20"/>
      <c r="F43" s="20"/>
      <c r="G43" s="20"/>
      <c r="H43" s="20"/>
      <c r="I43" s="20"/>
      <c r="J43" s="20"/>
      <c r="K43" s="20"/>
      <c r="L43" s="20"/>
      <c r="M43" s="20"/>
      <c r="N43" s="20"/>
      <c r="O43" s="20"/>
    </row>
    <row r="44" spans="1:15" s="10" customFormat="1" ht="81.75" customHeight="1">
      <c r="A44" s="10">
        <v>9</v>
      </c>
      <c r="B44" s="66" t="s">
        <v>444</v>
      </c>
      <c r="C44" s="7" t="s">
        <v>43</v>
      </c>
      <c r="D44" s="87" t="s">
        <v>185</v>
      </c>
      <c r="E44" s="71">
        <f>649.9+5.3+5.987+1.6+4.8+2+42.051+5.254</f>
        <v>716.8919999999999</v>
      </c>
      <c r="F44" s="71">
        <f>426.167+27.1+2.2</f>
        <v>455.467</v>
      </c>
      <c r="G44" s="71">
        <f>6.607+2.8</f>
        <v>9.407</v>
      </c>
      <c r="H44" s="68">
        <f>I44+L44</f>
        <v>13.19</v>
      </c>
      <c r="I44" s="71"/>
      <c r="J44" s="71"/>
      <c r="K44" s="71"/>
      <c r="L44" s="71">
        <v>13.19</v>
      </c>
      <c r="M44" s="71">
        <v>13.19</v>
      </c>
      <c r="N44" s="71">
        <v>13.19</v>
      </c>
      <c r="O44" s="69">
        <f>E44+H44</f>
        <v>730.082</v>
      </c>
    </row>
    <row r="45" spans="2:15" s="10" customFormat="1" ht="30.75" customHeight="1">
      <c r="B45" s="66"/>
      <c r="C45" s="7" t="s">
        <v>45</v>
      </c>
      <c r="D45" s="67" t="s">
        <v>163</v>
      </c>
      <c r="E45" s="20">
        <f>SUM(E48:E64)-E51-E60</f>
        <v>61693.23832999999</v>
      </c>
      <c r="F45" s="20">
        <f>SUM(F48:F65)-F51-F60</f>
        <v>35322.898</v>
      </c>
      <c r="G45" s="20">
        <f>SUM(G48:G65)-G51-G60</f>
        <v>5364.499</v>
      </c>
      <c r="H45" s="20">
        <f>SUM(H48:H63)-H51-H60</f>
        <v>5968.902870000001</v>
      </c>
      <c r="I45" s="20">
        <f>SUM(I48:I63)-I51-I60</f>
        <v>3702.883999999999</v>
      </c>
      <c r="J45" s="20">
        <f>SUM(J48:J63)-J51-J60</f>
        <v>404.04200000000003</v>
      </c>
      <c r="K45" s="20">
        <f>SUM(K48:K63)-K51-K60</f>
        <v>46.656000000000006</v>
      </c>
      <c r="L45" s="20">
        <f>SUM(L48:L63)-L51-L60</f>
        <v>2266.0188700000003</v>
      </c>
      <c r="M45" s="20">
        <f>SUM(M48:M63)-M51-M60</f>
        <v>2063.4441500000003</v>
      </c>
      <c r="N45" s="20">
        <f>SUM(N48:N63)-N51-N60</f>
        <v>1547.7951499999995</v>
      </c>
      <c r="O45" s="20">
        <f>E45+H45</f>
        <v>67662.1412</v>
      </c>
    </row>
    <row r="46" spans="2:15" s="10" customFormat="1" ht="24.75" customHeight="1">
      <c r="B46" s="66"/>
      <c r="C46" s="7" t="s">
        <v>45</v>
      </c>
      <c r="D46" s="67" t="s">
        <v>218</v>
      </c>
      <c r="E46" s="20">
        <f>SUM(E48:E59)-E51</f>
        <v>61417.564329999994</v>
      </c>
      <c r="F46" s="20">
        <f>SUM(F48:F59)-F51</f>
        <v>35322.898</v>
      </c>
      <c r="G46" s="20">
        <f>SUM(G48:G59)-G51</f>
        <v>5364.499</v>
      </c>
      <c r="H46" s="20">
        <f>I46+L46</f>
        <v>5968.90287</v>
      </c>
      <c r="I46" s="20">
        <f>SUM(I48:I59)-I51</f>
        <v>3702.883999999999</v>
      </c>
      <c r="J46" s="20">
        <f>SUM(J48:J59)</f>
        <v>753.672</v>
      </c>
      <c r="K46" s="20">
        <f>SUM(K48:K59)</f>
        <v>92.82300000000001</v>
      </c>
      <c r="L46" s="20">
        <f>SUM(L48:L60)-L51</f>
        <v>2266.0188700000003</v>
      </c>
      <c r="M46" s="20">
        <f>SUM(M48:M59)-M51</f>
        <v>1860.0551500000001</v>
      </c>
      <c r="N46" s="20">
        <f>SUM(N48:N59)-N51</f>
        <v>1349.79515</v>
      </c>
      <c r="O46" s="20">
        <f>E46+H46</f>
        <v>67386.4672</v>
      </c>
    </row>
    <row r="47" spans="1:15" s="126" customFormat="1" ht="38.25" customHeight="1">
      <c r="A47" s="126">
        <v>10</v>
      </c>
      <c r="B47" s="122" t="s">
        <v>230</v>
      </c>
      <c r="C47" s="123" t="s">
        <v>79</v>
      </c>
      <c r="D47" s="127" t="s">
        <v>35</v>
      </c>
      <c r="E47" s="125">
        <f>SUM(E48:E50)</f>
        <v>22422.200309999997</v>
      </c>
      <c r="F47" s="125">
        <f aca="true" t="shared" si="8" ref="F47:N47">SUM(F48:F50)</f>
        <v>12155.732</v>
      </c>
      <c r="G47" s="125">
        <f t="shared" si="8"/>
        <v>1714.014</v>
      </c>
      <c r="H47" s="125">
        <f t="shared" si="1"/>
        <v>3279.06592</v>
      </c>
      <c r="I47" s="125">
        <f t="shared" si="8"/>
        <v>2083.613</v>
      </c>
      <c r="J47" s="125">
        <f t="shared" si="8"/>
        <v>54.412</v>
      </c>
      <c r="K47" s="125">
        <f t="shared" si="8"/>
        <v>0.489</v>
      </c>
      <c r="L47" s="125">
        <f t="shared" si="8"/>
        <v>1195.4529200000002</v>
      </c>
      <c r="M47" s="125">
        <f t="shared" si="8"/>
        <v>1175.8944800000002</v>
      </c>
      <c r="N47" s="125">
        <f t="shared" si="8"/>
        <v>665.63448</v>
      </c>
      <c r="O47" s="125">
        <f aca="true" t="shared" si="9" ref="O47:O74">E47+H47</f>
        <v>25701.266229999997</v>
      </c>
    </row>
    <row r="48" spans="2:15" s="10" customFormat="1" ht="31.5" customHeight="1">
      <c r="B48" s="66"/>
      <c r="C48" s="7" t="s">
        <v>79</v>
      </c>
      <c r="D48" s="67" t="s">
        <v>233</v>
      </c>
      <c r="E48" s="20">
        <f>22299.139+29.16117-62.12-55.30299-26.23+2.01013+1.335+232.694</f>
        <v>22420.686309999997</v>
      </c>
      <c r="F48" s="20">
        <f>12072.083-69.351+153</f>
        <v>12155.732</v>
      </c>
      <c r="G48" s="20">
        <f>1727.014-13</f>
        <v>1714.014</v>
      </c>
      <c r="H48" s="20">
        <f t="shared" si="1"/>
        <v>3240.36448</v>
      </c>
      <c r="I48" s="71">
        <v>2083.613</v>
      </c>
      <c r="J48" s="71">
        <v>54.412</v>
      </c>
      <c r="K48" s="71">
        <v>0.489</v>
      </c>
      <c r="L48" s="71">
        <f>1349.05+19.248-93.67051-55.87601-38.7-43.3+20</f>
        <v>1156.7514800000001</v>
      </c>
      <c r="M48" s="71">
        <f>1349.05-93.67051-55.87601-38.7-43.3+20</f>
        <v>1137.50348</v>
      </c>
      <c r="N48" s="71">
        <f>1349.05-93.67051-55.87601-38.7-43.3-50-157.94-282.32</f>
        <v>627.2434800000001</v>
      </c>
      <c r="O48" s="20">
        <f t="shared" si="9"/>
        <v>25661.050789999998</v>
      </c>
    </row>
    <row r="49" spans="2:15" s="10" customFormat="1" ht="41.25" customHeight="1">
      <c r="B49" s="66"/>
      <c r="C49" s="7" t="s">
        <v>79</v>
      </c>
      <c r="D49" s="67" t="s">
        <v>345</v>
      </c>
      <c r="E49" s="20"/>
      <c r="F49" s="20"/>
      <c r="G49" s="20"/>
      <c r="H49" s="20">
        <f t="shared" si="1"/>
        <v>0.31044</v>
      </c>
      <c r="I49" s="71"/>
      <c r="J49" s="71"/>
      <c r="K49" s="71"/>
      <c r="L49" s="71">
        <f>0.31044</f>
        <v>0.31044</v>
      </c>
      <c r="M49" s="71"/>
      <c r="N49" s="71"/>
      <c r="O49" s="20">
        <f t="shared" si="9"/>
        <v>0.31044</v>
      </c>
    </row>
    <row r="50" spans="2:15" s="33" customFormat="1" ht="36.75" customHeight="1">
      <c r="B50" s="66"/>
      <c r="C50" s="7" t="s">
        <v>79</v>
      </c>
      <c r="D50" s="67" t="s">
        <v>346</v>
      </c>
      <c r="E50" s="20">
        <v>1.514</v>
      </c>
      <c r="F50" s="20"/>
      <c r="G50" s="20"/>
      <c r="H50" s="68">
        <f>I50+L50</f>
        <v>38.391</v>
      </c>
      <c r="I50" s="71"/>
      <c r="J50" s="71"/>
      <c r="K50" s="71"/>
      <c r="L50" s="71">
        <v>38.391</v>
      </c>
      <c r="M50" s="71">
        <v>38.391</v>
      </c>
      <c r="N50" s="71">
        <v>38.391</v>
      </c>
      <c r="O50" s="69">
        <f>E50+H50</f>
        <v>39.905</v>
      </c>
    </row>
    <row r="51" spans="1:15" s="136" customFormat="1" ht="104.25" customHeight="1">
      <c r="A51" s="136">
        <v>11</v>
      </c>
      <c r="B51" s="122" t="s">
        <v>234</v>
      </c>
      <c r="C51" s="123" t="s">
        <v>80</v>
      </c>
      <c r="D51" s="124" t="s">
        <v>347</v>
      </c>
      <c r="E51" s="125">
        <f>SUM(E52:E54)</f>
        <v>32298.94356</v>
      </c>
      <c r="F51" s="125">
        <f aca="true" t="shared" si="10" ref="F51:N51">SUM(F52:F54)</f>
        <v>18664.183</v>
      </c>
      <c r="G51" s="125">
        <f t="shared" si="10"/>
        <v>3471.811</v>
      </c>
      <c r="H51" s="125">
        <f t="shared" si="1"/>
        <v>2448.34195</v>
      </c>
      <c r="I51" s="125">
        <f t="shared" si="10"/>
        <v>1613.375</v>
      </c>
      <c r="J51" s="125">
        <f t="shared" si="10"/>
        <v>349.63</v>
      </c>
      <c r="K51" s="125">
        <f t="shared" si="10"/>
        <v>46.167</v>
      </c>
      <c r="L51" s="125">
        <f t="shared" si="10"/>
        <v>834.96695</v>
      </c>
      <c r="M51" s="125">
        <f t="shared" si="10"/>
        <v>653.80067</v>
      </c>
      <c r="N51" s="125">
        <f t="shared" si="10"/>
        <v>653.80067</v>
      </c>
      <c r="O51" s="125">
        <f t="shared" si="9"/>
        <v>34747.28551</v>
      </c>
    </row>
    <row r="52" spans="2:15" s="10" customFormat="1" ht="90" customHeight="1">
      <c r="B52" s="66"/>
      <c r="C52" s="7" t="s">
        <v>80</v>
      </c>
      <c r="D52" s="84" t="s">
        <v>235</v>
      </c>
      <c r="E52" s="20">
        <f>32031.173+135.36869+23.072+67.875-4.995-15.87+4.04687+169.463-111.19</f>
        <v>32298.94356</v>
      </c>
      <c r="F52" s="20">
        <f>18708.183-44</f>
        <v>18664.183</v>
      </c>
      <c r="G52" s="20">
        <v>3471.811</v>
      </c>
      <c r="H52" s="20">
        <f t="shared" si="1"/>
        <v>2204.59367</v>
      </c>
      <c r="I52" s="71">
        <v>1459.403</v>
      </c>
      <c r="J52" s="71">
        <v>349.63</v>
      </c>
      <c r="K52" s="71">
        <v>46.167</v>
      </c>
      <c r="L52" s="71">
        <f>204+101.39+318.28567+60+4.995+67.92+50-21.4-40</f>
        <v>745.19067</v>
      </c>
      <c r="M52" s="71">
        <f>204+318.28567+60+4.995+67.92+50-21.4-40</f>
        <v>643.80067</v>
      </c>
      <c r="N52" s="71">
        <f>204+318.28567+60+4.995+67.92+50-21.4-40</f>
        <v>643.80067</v>
      </c>
      <c r="O52" s="20">
        <f t="shared" si="9"/>
        <v>34503.53723</v>
      </c>
    </row>
    <row r="53" spans="2:15" s="10" customFormat="1" ht="111" customHeight="1">
      <c r="B53" s="66"/>
      <c r="C53" s="7" t="s">
        <v>80</v>
      </c>
      <c r="D53" s="87" t="s">
        <v>348</v>
      </c>
      <c r="E53" s="88"/>
      <c r="F53" s="88"/>
      <c r="G53" s="88"/>
      <c r="H53" s="20">
        <f t="shared" si="1"/>
        <v>233.74828000000002</v>
      </c>
      <c r="I53" s="92">
        <v>153.972</v>
      </c>
      <c r="J53" s="73"/>
      <c r="K53" s="73"/>
      <c r="L53" s="20">
        <v>79.77628</v>
      </c>
      <c r="M53" s="20"/>
      <c r="N53" s="73"/>
      <c r="O53" s="20">
        <f t="shared" si="9"/>
        <v>233.74828000000002</v>
      </c>
    </row>
    <row r="54" spans="2:15" s="10" customFormat="1" ht="96.75" customHeight="1">
      <c r="B54" s="66"/>
      <c r="C54" s="7" t="s">
        <v>80</v>
      </c>
      <c r="D54" s="87" t="s">
        <v>349</v>
      </c>
      <c r="E54" s="88"/>
      <c r="F54" s="88"/>
      <c r="G54" s="88"/>
      <c r="H54" s="20">
        <f>I54+L54</f>
        <v>10</v>
      </c>
      <c r="I54" s="73"/>
      <c r="J54" s="73"/>
      <c r="K54" s="73"/>
      <c r="L54" s="20">
        <v>10</v>
      </c>
      <c r="M54" s="20">
        <v>10</v>
      </c>
      <c r="N54" s="20">
        <v>10</v>
      </c>
      <c r="O54" s="20">
        <f>E54+H54</f>
        <v>10</v>
      </c>
    </row>
    <row r="55" spans="1:15" s="10" customFormat="1" ht="54" customHeight="1">
      <c r="A55" s="10">
        <v>12</v>
      </c>
      <c r="B55" s="89">
        <v>1011100</v>
      </c>
      <c r="C55" s="90" t="s">
        <v>81</v>
      </c>
      <c r="D55" s="84" t="s">
        <v>236</v>
      </c>
      <c r="E55" s="20">
        <f>3198.6+1.08+22.034+9.244-12.0055-10.637-132.806</f>
        <v>3075.5094999999997</v>
      </c>
      <c r="F55" s="20">
        <f>2262.945-103</f>
        <v>2159.945</v>
      </c>
      <c r="G55" s="20">
        <v>63.201</v>
      </c>
      <c r="H55" s="20">
        <f t="shared" si="1"/>
        <v>7.746</v>
      </c>
      <c r="I55" s="71">
        <v>5.896</v>
      </c>
      <c r="J55" s="71"/>
      <c r="K55" s="71"/>
      <c r="L55" s="71">
        <v>1.85</v>
      </c>
      <c r="M55" s="71"/>
      <c r="N55" s="71"/>
      <c r="O55" s="20">
        <f t="shared" si="9"/>
        <v>3083.2554999999998</v>
      </c>
    </row>
    <row r="56" spans="1:15" s="10" customFormat="1" ht="50.25" customHeight="1">
      <c r="A56" s="10">
        <v>13</v>
      </c>
      <c r="B56" s="89">
        <v>1011170</v>
      </c>
      <c r="C56" s="90" t="s">
        <v>82</v>
      </c>
      <c r="D56" s="84" t="s">
        <v>237</v>
      </c>
      <c r="E56" s="20">
        <f>628.363+1.71-5+7-4.095</f>
        <v>627.9780000000001</v>
      </c>
      <c r="F56" s="20">
        <f>445.993-15</f>
        <v>430.993</v>
      </c>
      <c r="G56" s="20">
        <f>6.129+2</f>
        <v>8.129</v>
      </c>
      <c r="H56" s="20">
        <f t="shared" si="1"/>
        <v>9.98</v>
      </c>
      <c r="I56" s="71"/>
      <c r="J56" s="71"/>
      <c r="K56" s="71"/>
      <c r="L56" s="71">
        <v>9.98</v>
      </c>
      <c r="M56" s="71">
        <v>9.98</v>
      </c>
      <c r="N56" s="71">
        <v>9.98</v>
      </c>
      <c r="O56" s="20">
        <f t="shared" si="9"/>
        <v>637.9580000000001</v>
      </c>
    </row>
    <row r="57" spans="1:15" s="10" customFormat="1" ht="45.75" customHeight="1">
      <c r="A57" s="10">
        <v>14</v>
      </c>
      <c r="B57" s="89">
        <v>1011190</v>
      </c>
      <c r="C57" s="90" t="s">
        <v>83</v>
      </c>
      <c r="D57" s="84" t="s">
        <v>238</v>
      </c>
      <c r="E57" s="20">
        <f>1099.337+1.23+4.82675+3.4+5.2+1.943+0.205+1.932</f>
        <v>1118.07375</v>
      </c>
      <c r="F57" s="20">
        <v>769.579</v>
      </c>
      <c r="G57" s="20">
        <f>12.986+5.2</f>
        <v>18.186</v>
      </c>
      <c r="H57" s="20">
        <f t="shared" si="1"/>
        <v>7.04</v>
      </c>
      <c r="I57" s="71"/>
      <c r="J57" s="71"/>
      <c r="K57" s="71"/>
      <c r="L57" s="71">
        <v>7.04</v>
      </c>
      <c r="M57" s="71">
        <v>7.04</v>
      </c>
      <c r="N57" s="71">
        <v>7.04</v>
      </c>
      <c r="O57" s="20">
        <f t="shared" si="9"/>
        <v>1125.11375</v>
      </c>
    </row>
    <row r="58" spans="1:15" s="10" customFormat="1" ht="42.75" customHeight="1">
      <c r="A58" s="10">
        <v>15</v>
      </c>
      <c r="B58" s="89">
        <v>1011200</v>
      </c>
      <c r="C58" s="7" t="s">
        <v>84</v>
      </c>
      <c r="D58" s="87" t="s">
        <v>13</v>
      </c>
      <c r="E58" s="20">
        <f>786.245+30.62546+4.49025+0.34+5.3+2.0055+2.084+29.178</f>
        <v>860.2682099999998</v>
      </c>
      <c r="F58" s="20">
        <f>466.331+15</f>
        <v>481.331</v>
      </c>
      <c r="G58" s="20">
        <f>7.568+3</f>
        <v>10.568</v>
      </c>
      <c r="H58" s="20">
        <f t="shared" si="1"/>
        <v>13.34</v>
      </c>
      <c r="I58" s="71"/>
      <c r="J58" s="71"/>
      <c r="K58" s="71"/>
      <c r="L58" s="71">
        <v>13.34</v>
      </c>
      <c r="M58" s="71">
        <v>13.34</v>
      </c>
      <c r="N58" s="71">
        <v>13.34</v>
      </c>
      <c r="O58" s="20">
        <f t="shared" si="9"/>
        <v>873.6082099999999</v>
      </c>
    </row>
    <row r="59" spans="1:15" s="10" customFormat="1" ht="49.5" customHeight="1">
      <c r="A59" s="10">
        <v>16</v>
      </c>
      <c r="B59" s="89">
        <v>1011210</v>
      </c>
      <c r="C59" s="90" t="s">
        <v>85</v>
      </c>
      <c r="D59" s="84" t="s">
        <v>239</v>
      </c>
      <c r="E59" s="20">
        <f>1045.153+0.9+0.47-31.932</f>
        <v>1014.5910000000001</v>
      </c>
      <c r="F59" s="20">
        <f>673.135-12</f>
        <v>661.135</v>
      </c>
      <c r="G59" s="20">
        <v>78.59</v>
      </c>
      <c r="H59" s="20">
        <f t="shared" si="1"/>
        <v>0</v>
      </c>
      <c r="I59" s="71"/>
      <c r="J59" s="71"/>
      <c r="K59" s="71"/>
      <c r="L59" s="71"/>
      <c r="M59" s="71"/>
      <c r="N59" s="20"/>
      <c r="O59" s="20">
        <f t="shared" si="9"/>
        <v>1014.5910000000001</v>
      </c>
    </row>
    <row r="60" spans="1:15" s="177" customFormat="1" ht="48.75" customHeight="1">
      <c r="A60" s="177">
        <v>17</v>
      </c>
      <c r="B60" s="178">
        <v>1011800</v>
      </c>
      <c r="C60" s="179" t="s">
        <v>114</v>
      </c>
      <c r="D60" s="180" t="s">
        <v>311</v>
      </c>
      <c r="E60" s="181">
        <f>E61</f>
        <v>267.334</v>
      </c>
      <c r="F60" s="181">
        <f aca="true" t="shared" si="11" ref="F60:O60">F61</f>
        <v>0</v>
      </c>
      <c r="G60" s="181">
        <f t="shared" si="11"/>
        <v>0</v>
      </c>
      <c r="H60" s="181">
        <f t="shared" si="11"/>
        <v>5.389</v>
      </c>
      <c r="I60" s="181">
        <f t="shared" si="11"/>
        <v>0</v>
      </c>
      <c r="J60" s="181">
        <f t="shared" si="11"/>
        <v>0</v>
      </c>
      <c r="K60" s="181">
        <f t="shared" si="11"/>
        <v>0</v>
      </c>
      <c r="L60" s="181">
        <f>SUM(L61:L62)</f>
        <v>203.389</v>
      </c>
      <c r="M60" s="181">
        <f>SUM(M61:M62)</f>
        <v>203.389</v>
      </c>
      <c r="N60" s="181">
        <f>SUM(N61:N62)</f>
        <v>198</v>
      </c>
      <c r="O60" s="181">
        <f t="shared" si="11"/>
        <v>272.723</v>
      </c>
    </row>
    <row r="61" spans="1:15" s="79" customFormat="1" ht="48.75" customHeight="1">
      <c r="A61" s="79">
        <v>17</v>
      </c>
      <c r="B61" s="114" t="s">
        <v>54</v>
      </c>
      <c r="C61" s="75" t="s">
        <v>114</v>
      </c>
      <c r="D61" s="76" t="s">
        <v>425</v>
      </c>
      <c r="E61" s="77">
        <f>100+133.111+54-12.7-7.077</f>
        <v>267.334</v>
      </c>
      <c r="F61" s="77"/>
      <c r="G61" s="77"/>
      <c r="H61" s="77">
        <f>I61+L61</f>
        <v>5.389</v>
      </c>
      <c r="I61" s="78"/>
      <c r="J61" s="77"/>
      <c r="K61" s="77"/>
      <c r="L61" s="77">
        <v>5.389</v>
      </c>
      <c r="M61" s="77">
        <v>5.389</v>
      </c>
      <c r="N61" s="77"/>
      <c r="O61" s="77">
        <f t="shared" si="9"/>
        <v>272.723</v>
      </c>
    </row>
    <row r="62" spans="2:15" s="79" customFormat="1" ht="182.25" customHeight="1">
      <c r="B62" s="114" t="s">
        <v>258</v>
      </c>
      <c r="C62" s="75" t="s">
        <v>114</v>
      </c>
      <c r="D62" s="76" t="s">
        <v>259</v>
      </c>
      <c r="E62" s="77"/>
      <c r="F62" s="77"/>
      <c r="G62" s="77"/>
      <c r="H62" s="77">
        <f>I62+L62</f>
        <v>198</v>
      </c>
      <c r="I62" s="78"/>
      <c r="J62" s="77"/>
      <c r="K62" s="77"/>
      <c r="L62" s="77">
        <v>198</v>
      </c>
      <c r="M62" s="77">
        <v>198</v>
      </c>
      <c r="N62" s="77">
        <v>198</v>
      </c>
      <c r="O62" s="77">
        <f>E62+H62</f>
        <v>198</v>
      </c>
    </row>
    <row r="63" spans="1:15" s="10" customFormat="1" ht="57" customHeight="1">
      <c r="A63" s="10">
        <v>18</v>
      </c>
      <c r="B63" s="89">
        <v>1011260</v>
      </c>
      <c r="C63" s="7" t="s">
        <v>101</v>
      </c>
      <c r="D63" s="84" t="s">
        <v>240</v>
      </c>
      <c r="E63" s="20">
        <f>7.24+1.1</f>
        <v>8.34</v>
      </c>
      <c r="F63" s="20"/>
      <c r="G63" s="91"/>
      <c r="H63" s="20">
        <f t="shared" si="1"/>
        <v>0</v>
      </c>
      <c r="I63" s="73"/>
      <c r="J63" s="20"/>
      <c r="K63" s="20"/>
      <c r="L63" s="20"/>
      <c r="M63" s="20"/>
      <c r="N63" s="20"/>
      <c r="O63" s="20">
        <f t="shared" si="9"/>
        <v>8.34</v>
      </c>
    </row>
    <row r="64" spans="1:15" s="10" customFormat="1" ht="98.25" customHeight="1" hidden="1">
      <c r="A64" s="10">
        <v>19</v>
      </c>
      <c r="B64" s="66"/>
      <c r="C64" s="7" t="s">
        <v>160</v>
      </c>
      <c r="D64" s="83" t="s">
        <v>171</v>
      </c>
      <c r="E64" s="20"/>
      <c r="F64" s="20"/>
      <c r="G64" s="20"/>
      <c r="H64" s="20">
        <f t="shared" si="1"/>
        <v>0</v>
      </c>
      <c r="I64" s="73"/>
      <c r="J64" s="20"/>
      <c r="K64" s="20"/>
      <c r="L64" s="20"/>
      <c r="M64" s="20"/>
      <c r="N64" s="20"/>
      <c r="O64" s="20">
        <f t="shared" si="9"/>
        <v>0</v>
      </c>
    </row>
    <row r="65" spans="1:15" s="10" customFormat="1" ht="90.75" customHeight="1">
      <c r="A65" s="10">
        <v>20</v>
      </c>
      <c r="B65" s="66" t="s">
        <v>16</v>
      </c>
      <c r="C65" s="7" t="s">
        <v>160</v>
      </c>
      <c r="D65" s="67" t="s">
        <v>147</v>
      </c>
      <c r="E65" s="20"/>
      <c r="F65" s="20"/>
      <c r="G65" s="20"/>
      <c r="H65" s="20">
        <f t="shared" si="1"/>
        <v>11.9484</v>
      </c>
      <c r="I65" s="20">
        <v>11.9484</v>
      </c>
      <c r="J65" s="20"/>
      <c r="K65" s="20"/>
      <c r="L65" s="20"/>
      <c r="M65" s="20"/>
      <c r="N65" s="20"/>
      <c r="O65" s="20">
        <f t="shared" si="9"/>
        <v>11.9484</v>
      </c>
    </row>
    <row r="66" spans="2:15" s="10" customFormat="1" ht="63.75" customHeight="1" hidden="1">
      <c r="B66" s="66"/>
      <c r="C66" s="7" t="s">
        <v>160</v>
      </c>
      <c r="D66" s="83" t="s">
        <v>159</v>
      </c>
      <c r="E66" s="20"/>
      <c r="F66" s="20"/>
      <c r="G66" s="91"/>
      <c r="H66" s="20">
        <f t="shared" si="1"/>
        <v>0</v>
      </c>
      <c r="I66" s="92"/>
      <c r="J66" s="20"/>
      <c r="K66" s="20"/>
      <c r="L66" s="20"/>
      <c r="M66" s="20"/>
      <c r="N66" s="20"/>
      <c r="O66" s="20">
        <f t="shared" si="9"/>
        <v>0</v>
      </c>
    </row>
    <row r="67" spans="2:16" s="100" customFormat="1" ht="45" customHeight="1">
      <c r="B67" s="85"/>
      <c r="C67" s="86"/>
      <c r="D67" s="108" t="s">
        <v>443</v>
      </c>
      <c r="E67" s="98">
        <f>SUM(E44:E45)+E65</f>
        <v>62410.13032999999</v>
      </c>
      <c r="F67" s="98">
        <f aca="true" t="shared" si="12" ref="F67:O67">SUM(F44:F45)+F65</f>
        <v>35778.365</v>
      </c>
      <c r="G67" s="98">
        <f t="shared" si="12"/>
        <v>5373.906</v>
      </c>
      <c r="H67" s="98">
        <f t="shared" si="12"/>
        <v>5994.041270000001</v>
      </c>
      <c r="I67" s="98">
        <f t="shared" si="12"/>
        <v>3714.8323999999993</v>
      </c>
      <c r="J67" s="98">
        <f t="shared" si="12"/>
        <v>404.04200000000003</v>
      </c>
      <c r="K67" s="98">
        <f t="shared" si="12"/>
        <v>46.656000000000006</v>
      </c>
      <c r="L67" s="98">
        <f>SUM(L44:L45)+L65</f>
        <v>2279.2088700000004</v>
      </c>
      <c r="M67" s="98">
        <f t="shared" si="12"/>
        <v>2076.6341500000003</v>
      </c>
      <c r="N67" s="98">
        <f t="shared" si="12"/>
        <v>1560.9851499999995</v>
      </c>
      <c r="O67" s="98">
        <f t="shared" si="12"/>
        <v>68404.17159999999</v>
      </c>
      <c r="P67" s="99">
        <f>E67-E44-E50</f>
        <v>61691.72432999999</v>
      </c>
    </row>
    <row r="68" spans="2:43" s="104" customFormat="1" ht="60.75" customHeight="1">
      <c r="B68" s="101" t="s">
        <v>447</v>
      </c>
      <c r="C68" s="105"/>
      <c r="D68" s="102" t="s">
        <v>475</v>
      </c>
      <c r="E68" s="96"/>
      <c r="F68" s="96"/>
      <c r="G68" s="96"/>
      <c r="H68" s="96"/>
      <c r="I68" s="96"/>
      <c r="J68" s="96"/>
      <c r="K68" s="96"/>
      <c r="L68" s="96"/>
      <c r="M68" s="96"/>
      <c r="N68" s="96"/>
      <c r="O68" s="96"/>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row>
    <row r="69" spans="2:43" s="10" customFormat="1" ht="60.75" customHeight="1">
      <c r="B69" s="64" t="s">
        <v>448</v>
      </c>
      <c r="C69" s="7"/>
      <c r="D69" s="65" t="s">
        <v>472</v>
      </c>
      <c r="E69" s="20"/>
      <c r="F69" s="20"/>
      <c r="G69" s="20"/>
      <c r="H69" s="20"/>
      <c r="I69" s="20"/>
      <c r="J69" s="20"/>
      <c r="K69" s="20"/>
      <c r="L69" s="20"/>
      <c r="M69" s="20"/>
      <c r="N69" s="20"/>
      <c r="O69" s="20"/>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row>
    <row r="70" spans="2:43" s="10" customFormat="1" ht="37.5">
      <c r="B70" s="89"/>
      <c r="C70" s="7"/>
      <c r="D70" s="67" t="s">
        <v>213</v>
      </c>
      <c r="E70" s="20">
        <f>E72+E74+E81+E86+E75+E77+E83+E88+E89+E78+E95+E96+E97+E98+E99+E100+E101+E102+E79+E84+E103+E91+E93+E107</f>
        <v>33381.946</v>
      </c>
      <c r="F70" s="20">
        <f>F72+F74+F81+F86+F75+F77+F83+F88+F89+F78+F95+F96+F97+F98+F99+F100+F101+F102+F79+F84+F103+F91+F93</f>
        <v>0</v>
      </c>
      <c r="G70" s="20">
        <f>G72+G74+G81+G86+G75+G77+G83+G88+G89+G78+G95+G96+G97+G98+G99+G100+G101+G102+G79+G84+G103+G91+G93</f>
        <v>0</v>
      </c>
      <c r="H70" s="20">
        <f t="shared" si="1"/>
        <v>136.23885</v>
      </c>
      <c r="I70" s="20">
        <f aca="true" t="shared" si="13" ref="I70:N70">I72+I74+I81+I86+I75+I77+I83+I88+I89+I78+I95+I96+I97+I98+I99+I100+I101+I102+I79+I84+I103+I91+I93+I112</f>
        <v>0</v>
      </c>
      <c r="J70" s="20">
        <f t="shared" si="13"/>
        <v>0</v>
      </c>
      <c r="K70" s="20">
        <f t="shared" si="13"/>
        <v>0</v>
      </c>
      <c r="L70" s="20">
        <f t="shared" si="13"/>
        <v>136.23885</v>
      </c>
      <c r="M70" s="20">
        <f t="shared" si="13"/>
        <v>0</v>
      </c>
      <c r="N70" s="20">
        <f t="shared" si="13"/>
        <v>0</v>
      </c>
      <c r="O70" s="20">
        <f t="shared" si="9"/>
        <v>33518.184850000005</v>
      </c>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row>
    <row r="71" spans="1:15" s="10" customFormat="1" ht="104.25" customHeight="1">
      <c r="A71" s="10">
        <v>21</v>
      </c>
      <c r="B71" s="89" t="s">
        <v>449</v>
      </c>
      <c r="C71" s="90" t="s">
        <v>43</v>
      </c>
      <c r="D71" s="72" t="s">
        <v>187</v>
      </c>
      <c r="E71" s="20">
        <f>1834.1+4.52908-17.5-10</f>
        <v>1811.12908</v>
      </c>
      <c r="F71" s="20">
        <f>1157.52-20</f>
        <v>1137.52</v>
      </c>
      <c r="G71" s="20">
        <f>81.9+0.5</f>
        <v>82.4</v>
      </c>
      <c r="H71" s="20">
        <f t="shared" si="1"/>
        <v>3</v>
      </c>
      <c r="I71" s="73"/>
      <c r="J71" s="20"/>
      <c r="K71" s="20"/>
      <c r="L71" s="20">
        <v>3</v>
      </c>
      <c r="M71" s="20">
        <v>3</v>
      </c>
      <c r="N71" s="20"/>
      <c r="O71" s="20">
        <f t="shared" si="9"/>
        <v>1814.12908</v>
      </c>
    </row>
    <row r="72" spans="1:15" s="10" customFormat="1" ht="102.75" customHeight="1">
      <c r="A72" s="10">
        <v>22</v>
      </c>
      <c r="B72" s="89" t="s">
        <v>241</v>
      </c>
      <c r="C72" s="90" t="s">
        <v>145</v>
      </c>
      <c r="D72" s="82" t="s">
        <v>242</v>
      </c>
      <c r="E72" s="20">
        <f>230.5+0.172+24.274</f>
        <v>254.946</v>
      </c>
      <c r="F72" s="20"/>
      <c r="G72" s="20"/>
      <c r="H72" s="20">
        <f>I72+L72</f>
        <v>0</v>
      </c>
      <c r="I72" s="73"/>
      <c r="J72" s="20"/>
      <c r="K72" s="20"/>
      <c r="L72" s="20"/>
      <c r="M72" s="20"/>
      <c r="N72" s="20"/>
      <c r="O72" s="20">
        <f>E72+H72</f>
        <v>254.946</v>
      </c>
    </row>
    <row r="73" spans="2:16" s="126" customFormat="1" ht="87" customHeight="1">
      <c r="B73" s="122" t="s">
        <v>450</v>
      </c>
      <c r="C73" s="123"/>
      <c r="D73" s="124" t="s">
        <v>451</v>
      </c>
      <c r="E73" s="125">
        <f>SUM(E74:E79)</f>
        <v>3736.8</v>
      </c>
      <c r="F73" s="125">
        <f aca="true" t="shared" si="14" ref="F73:N73">SUM(F74:F79)</f>
        <v>0</v>
      </c>
      <c r="G73" s="125">
        <f t="shared" si="14"/>
        <v>0</v>
      </c>
      <c r="H73" s="125">
        <f t="shared" si="14"/>
        <v>0</v>
      </c>
      <c r="I73" s="125">
        <f t="shared" si="14"/>
        <v>0</v>
      </c>
      <c r="J73" s="125">
        <f t="shared" si="14"/>
        <v>0</v>
      </c>
      <c r="K73" s="125">
        <f t="shared" si="14"/>
        <v>0</v>
      </c>
      <c r="L73" s="125">
        <f t="shared" si="14"/>
        <v>0</v>
      </c>
      <c r="M73" s="125">
        <f t="shared" si="14"/>
        <v>0</v>
      </c>
      <c r="N73" s="125">
        <f t="shared" si="14"/>
        <v>0</v>
      </c>
      <c r="O73" s="125">
        <f>SUM(O74:O79)</f>
        <v>3736.8</v>
      </c>
      <c r="P73" s="144">
        <f>H73+E73</f>
        <v>3736.8</v>
      </c>
    </row>
    <row r="74" spans="1:15" s="10" customFormat="1" ht="294.75" customHeight="1">
      <c r="A74" s="10">
        <v>23</v>
      </c>
      <c r="B74" s="74" t="s">
        <v>243</v>
      </c>
      <c r="C74" s="75" t="s">
        <v>70</v>
      </c>
      <c r="D74" s="76" t="s">
        <v>244</v>
      </c>
      <c r="E74" s="20">
        <v>1600</v>
      </c>
      <c r="F74" s="20"/>
      <c r="G74" s="20"/>
      <c r="H74" s="20">
        <f>I74+L74</f>
        <v>0</v>
      </c>
      <c r="I74" s="73"/>
      <c r="J74" s="20"/>
      <c r="K74" s="20"/>
      <c r="L74" s="20"/>
      <c r="M74" s="20"/>
      <c r="N74" s="20"/>
      <c r="O74" s="20">
        <f t="shared" si="9"/>
        <v>1600</v>
      </c>
    </row>
    <row r="75" spans="2:15" s="10" customFormat="1" ht="331.5" customHeight="1">
      <c r="B75" s="110"/>
      <c r="C75" s="111"/>
      <c r="D75" s="112" t="s">
        <v>291</v>
      </c>
      <c r="E75" s="189">
        <v>396.8</v>
      </c>
      <c r="F75" s="189"/>
      <c r="G75" s="189"/>
      <c r="H75" s="189">
        <f>J75+M75</f>
        <v>0</v>
      </c>
      <c r="I75" s="190"/>
      <c r="J75" s="189"/>
      <c r="K75" s="189"/>
      <c r="L75" s="189"/>
      <c r="M75" s="189"/>
      <c r="N75" s="113"/>
      <c r="O75" s="189">
        <f>E75+H75</f>
        <v>396.8</v>
      </c>
    </row>
    <row r="76" spans="1:15" s="10" customFormat="1" ht="408.75" customHeight="1">
      <c r="A76" s="10">
        <v>24</v>
      </c>
      <c r="B76" s="74" t="s">
        <v>249</v>
      </c>
      <c r="C76" s="111" t="s">
        <v>73</v>
      </c>
      <c r="D76" s="76" t="s">
        <v>254</v>
      </c>
      <c r="E76" s="189"/>
      <c r="F76" s="189"/>
      <c r="G76" s="189"/>
      <c r="H76" s="189"/>
      <c r="I76" s="190"/>
      <c r="J76" s="189"/>
      <c r="K76" s="189"/>
      <c r="L76" s="189"/>
      <c r="M76" s="189"/>
      <c r="N76" s="113"/>
      <c r="O76" s="189"/>
    </row>
    <row r="77" spans="1:15" s="10" customFormat="1" ht="138.75" customHeight="1">
      <c r="A77" s="10">
        <v>25</v>
      </c>
      <c r="B77" s="74" t="s">
        <v>255</v>
      </c>
      <c r="C77" s="75" t="s">
        <v>89</v>
      </c>
      <c r="D77" s="76" t="s">
        <v>256</v>
      </c>
      <c r="E77" s="77">
        <v>1000</v>
      </c>
      <c r="F77" s="77"/>
      <c r="G77" s="77"/>
      <c r="H77" s="77">
        <f>I77+L77</f>
        <v>0</v>
      </c>
      <c r="I77" s="78"/>
      <c r="J77" s="77"/>
      <c r="K77" s="77"/>
      <c r="L77" s="77"/>
      <c r="M77" s="77"/>
      <c r="N77" s="77"/>
      <c r="O77" s="77">
        <f>E77+H77</f>
        <v>1000</v>
      </c>
    </row>
    <row r="78" spans="1:15" s="79" customFormat="1" ht="67.5" customHeight="1">
      <c r="A78" s="79">
        <v>26</v>
      </c>
      <c r="B78" s="74" t="s">
        <v>267</v>
      </c>
      <c r="C78" s="75" t="s">
        <v>217</v>
      </c>
      <c r="D78" s="76" t="s">
        <v>268</v>
      </c>
      <c r="E78" s="77">
        <v>220</v>
      </c>
      <c r="F78" s="77"/>
      <c r="G78" s="77"/>
      <c r="H78" s="77">
        <f>I78+L78</f>
        <v>0</v>
      </c>
      <c r="I78" s="78"/>
      <c r="J78" s="77"/>
      <c r="K78" s="77"/>
      <c r="L78" s="77"/>
      <c r="M78" s="77"/>
      <c r="N78" s="77"/>
      <c r="O78" s="77">
        <f>E78+H78</f>
        <v>220</v>
      </c>
    </row>
    <row r="79" spans="1:15" s="79" customFormat="1" ht="63" customHeight="1">
      <c r="A79" s="79">
        <v>27</v>
      </c>
      <c r="B79" s="74" t="s">
        <v>285</v>
      </c>
      <c r="C79" s="75" t="s">
        <v>49</v>
      </c>
      <c r="D79" s="117" t="s">
        <v>286</v>
      </c>
      <c r="E79" s="77">
        <v>520</v>
      </c>
      <c r="F79" s="77"/>
      <c r="G79" s="77"/>
      <c r="H79" s="77">
        <f>I79+L79</f>
        <v>0</v>
      </c>
      <c r="I79" s="78"/>
      <c r="J79" s="77"/>
      <c r="K79" s="77"/>
      <c r="L79" s="77"/>
      <c r="M79" s="77"/>
      <c r="N79" s="77"/>
      <c r="O79" s="77">
        <f>E79+H79</f>
        <v>520</v>
      </c>
    </row>
    <row r="80" spans="2:16" s="126" customFormat="1" ht="63" customHeight="1">
      <c r="B80" s="122" t="s">
        <v>452</v>
      </c>
      <c r="C80" s="123"/>
      <c r="D80" s="127" t="s">
        <v>453</v>
      </c>
      <c r="E80" s="125">
        <f>SUM(E81:E84)</f>
        <v>3.0999999999999996</v>
      </c>
      <c r="F80" s="125">
        <f aca="true" t="shared" si="15" ref="F80:O80">SUM(F81:F84)</f>
        <v>0</v>
      </c>
      <c r="G80" s="125">
        <f t="shared" si="15"/>
        <v>0</v>
      </c>
      <c r="H80" s="125">
        <f t="shared" si="15"/>
        <v>0</v>
      </c>
      <c r="I80" s="125">
        <f t="shared" si="15"/>
        <v>0</v>
      </c>
      <c r="J80" s="125">
        <f t="shared" si="15"/>
        <v>0</v>
      </c>
      <c r="K80" s="125">
        <f t="shared" si="15"/>
        <v>0</v>
      </c>
      <c r="L80" s="125">
        <f t="shared" si="15"/>
        <v>0</v>
      </c>
      <c r="M80" s="125">
        <f t="shared" si="15"/>
        <v>0</v>
      </c>
      <c r="N80" s="125">
        <f t="shared" si="15"/>
        <v>0</v>
      </c>
      <c r="O80" s="125">
        <f t="shared" si="15"/>
        <v>3.0999999999999996</v>
      </c>
      <c r="P80" s="144">
        <f>H80+E80</f>
        <v>3.0999999999999996</v>
      </c>
    </row>
    <row r="81" spans="1:15" s="79" customFormat="1" ht="268.5" customHeight="1">
      <c r="A81" s="79">
        <v>28</v>
      </c>
      <c r="B81" s="114" t="s">
        <v>245</v>
      </c>
      <c r="C81" s="115" t="s">
        <v>71</v>
      </c>
      <c r="D81" s="112" t="s">
        <v>246</v>
      </c>
      <c r="E81" s="77">
        <f>2+0.518+0.0022</f>
        <v>2.5202</v>
      </c>
      <c r="F81" s="77"/>
      <c r="G81" s="77"/>
      <c r="H81" s="77">
        <f>I81+L81</f>
        <v>0</v>
      </c>
      <c r="I81" s="78"/>
      <c r="J81" s="77"/>
      <c r="K81" s="77"/>
      <c r="L81" s="77"/>
      <c r="M81" s="77"/>
      <c r="N81" s="77"/>
      <c r="O81" s="77">
        <f aca="true" t="shared" si="16" ref="O81:O93">E81+H81</f>
        <v>2.5202</v>
      </c>
    </row>
    <row r="82" spans="2:15" s="118" customFormat="1" ht="33.75" customHeight="1" hidden="1">
      <c r="B82" s="119"/>
      <c r="C82" s="75" t="s">
        <v>103</v>
      </c>
      <c r="D82" s="76" t="s">
        <v>152</v>
      </c>
      <c r="E82" s="78"/>
      <c r="F82" s="120"/>
      <c r="G82" s="120"/>
      <c r="H82" s="77">
        <f>I82+L75</f>
        <v>0</v>
      </c>
      <c r="I82" s="78"/>
      <c r="J82" s="120"/>
      <c r="K82" s="120"/>
      <c r="L82" s="120"/>
      <c r="M82" s="120"/>
      <c r="N82" s="120"/>
      <c r="O82" s="78">
        <f t="shared" si="16"/>
        <v>0</v>
      </c>
    </row>
    <row r="83" spans="1:15" s="79" customFormat="1" ht="145.5" customHeight="1">
      <c r="A83" s="79">
        <v>29</v>
      </c>
      <c r="B83" s="114" t="s">
        <v>257</v>
      </c>
      <c r="C83" s="115" t="s">
        <v>104</v>
      </c>
      <c r="D83" s="112" t="s">
        <v>260</v>
      </c>
      <c r="E83" s="77">
        <f>0.5-0.0022</f>
        <v>0.4978</v>
      </c>
      <c r="F83" s="77"/>
      <c r="G83" s="77"/>
      <c r="H83" s="77">
        <f>I83+L83</f>
        <v>0</v>
      </c>
      <c r="I83" s="78"/>
      <c r="J83" s="77"/>
      <c r="K83" s="77"/>
      <c r="L83" s="77"/>
      <c r="M83" s="77"/>
      <c r="N83" s="77"/>
      <c r="O83" s="77">
        <f t="shared" si="16"/>
        <v>0.4978</v>
      </c>
    </row>
    <row r="84" spans="1:15" s="118" customFormat="1" ht="88.5" customHeight="1">
      <c r="A84" s="118">
        <v>30</v>
      </c>
      <c r="B84" s="114" t="s">
        <v>287</v>
      </c>
      <c r="C84" s="115" t="s">
        <v>144</v>
      </c>
      <c r="D84" s="116" t="s">
        <v>288</v>
      </c>
      <c r="E84" s="77">
        <f>0.6-0.518</f>
        <v>0.08199999999999996</v>
      </c>
      <c r="F84" s="77"/>
      <c r="G84" s="77"/>
      <c r="H84" s="77">
        <f>I84+L84</f>
        <v>0</v>
      </c>
      <c r="I84" s="78"/>
      <c r="J84" s="77"/>
      <c r="K84" s="77"/>
      <c r="L84" s="77"/>
      <c r="M84" s="77"/>
      <c r="N84" s="77"/>
      <c r="O84" s="77">
        <f t="shared" si="16"/>
        <v>0.08199999999999996</v>
      </c>
    </row>
    <row r="85" spans="2:16" s="129" customFormat="1" ht="226.5" customHeight="1">
      <c r="B85" s="122" t="s">
        <v>454</v>
      </c>
      <c r="C85" s="123"/>
      <c r="D85" s="127" t="s">
        <v>455</v>
      </c>
      <c r="E85" s="125">
        <f>SUM(E86:E93)-E90</f>
        <v>1177.5949999999998</v>
      </c>
      <c r="F85" s="125">
        <f aca="true" t="shared" si="17" ref="F85:N85">SUM(F86:F93)-F90</f>
        <v>0</v>
      </c>
      <c r="G85" s="125">
        <f t="shared" si="17"/>
        <v>0</v>
      </c>
      <c r="H85" s="125">
        <f t="shared" si="17"/>
        <v>0</v>
      </c>
      <c r="I85" s="125">
        <f t="shared" si="17"/>
        <v>0</v>
      </c>
      <c r="J85" s="125">
        <f t="shared" si="17"/>
        <v>0</v>
      </c>
      <c r="K85" s="125">
        <f t="shared" si="17"/>
        <v>0</v>
      </c>
      <c r="L85" s="125">
        <f t="shared" si="17"/>
        <v>0</v>
      </c>
      <c r="M85" s="125">
        <f t="shared" si="17"/>
        <v>0</v>
      </c>
      <c r="N85" s="125">
        <f t="shared" si="17"/>
        <v>0</v>
      </c>
      <c r="O85" s="140">
        <f>E85+H85</f>
        <v>1177.5949999999998</v>
      </c>
      <c r="P85" s="144">
        <f>H85+E85</f>
        <v>1177.5949999999998</v>
      </c>
    </row>
    <row r="86" spans="1:16" s="79" customFormat="1" ht="282" customHeight="1">
      <c r="A86" s="79">
        <v>31</v>
      </c>
      <c r="B86" s="114" t="s">
        <v>247</v>
      </c>
      <c r="C86" s="115" t="s">
        <v>72</v>
      </c>
      <c r="D86" s="112" t="s">
        <v>248</v>
      </c>
      <c r="E86" s="77">
        <f>16+2</f>
        <v>18</v>
      </c>
      <c r="F86" s="77"/>
      <c r="G86" s="77"/>
      <c r="H86" s="77">
        <f aca="true" t="shared" si="18" ref="H86:H93">I86+L86</f>
        <v>0</v>
      </c>
      <c r="I86" s="78"/>
      <c r="J86" s="77"/>
      <c r="K86" s="77"/>
      <c r="L86" s="77"/>
      <c r="M86" s="77"/>
      <c r="N86" s="77"/>
      <c r="O86" s="77">
        <f t="shared" si="16"/>
        <v>18</v>
      </c>
      <c r="P86" s="167">
        <f>P85-687.6</f>
        <v>489.9949999999998</v>
      </c>
    </row>
    <row r="87" spans="2:15" s="118" customFormat="1" ht="39.75" customHeight="1" hidden="1">
      <c r="B87" s="119"/>
      <c r="C87" s="75" t="s">
        <v>91</v>
      </c>
      <c r="D87" s="76" t="s">
        <v>153</v>
      </c>
      <c r="E87" s="78"/>
      <c r="F87" s="120"/>
      <c r="G87" s="120"/>
      <c r="H87" s="77">
        <f t="shared" si="18"/>
        <v>0</v>
      </c>
      <c r="I87" s="78"/>
      <c r="J87" s="120"/>
      <c r="K87" s="120"/>
      <c r="L87" s="120"/>
      <c r="M87" s="120"/>
      <c r="N87" s="120"/>
      <c r="O87" s="78">
        <f t="shared" si="16"/>
        <v>0</v>
      </c>
    </row>
    <row r="88" spans="1:15" s="79" customFormat="1" ht="129" customHeight="1">
      <c r="A88" s="79">
        <v>32</v>
      </c>
      <c r="B88" s="114" t="s">
        <v>261</v>
      </c>
      <c r="C88" s="115" t="s">
        <v>68</v>
      </c>
      <c r="D88" s="112" t="s">
        <v>262</v>
      </c>
      <c r="E88" s="77">
        <f>30+2.5</f>
        <v>32.5</v>
      </c>
      <c r="F88" s="77"/>
      <c r="G88" s="77"/>
      <c r="H88" s="77">
        <f t="shared" si="18"/>
        <v>0</v>
      </c>
      <c r="I88" s="78"/>
      <c r="J88" s="77"/>
      <c r="K88" s="77"/>
      <c r="L88" s="77"/>
      <c r="M88" s="77"/>
      <c r="N88" s="77"/>
      <c r="O88" s="77">
        <f t="shared" si="16"/>
        <v>32.5</v>
      </c>
    </row>
    <row r="89" spans="1:15" s="79" customFormat="1" ht="47.25" customHeight="1">
      <c r="A89" s="79">
        <v>33</v>
      </c>
      <c r="B89" s="114" t="s">
        <v>265</v>
      </c>
      <c r="C89" s="115" t="s">
        <v>157</v>
      </c>
      <c r="D89" s="112" t="s">
        <v>266</v>
      </c>
      <c r="E89" s="77">
        <f>215+5-74.946+54.5</f>
        <v>199.554</v>
      </c>
      <c r="F89" s="77"/>
      <c r="G89" s="77"/>
      <c r="H89" s="77">
        <f t="shared" si="18"/>
        <v>0</v>
      </c>
      <c r="I89" s="78"/>
      <c r="J89" s="77"/>
      <c r="K89" s="77"/>
      <c r="L89" s="77"/>
      <c r="M89" s="77"/>
      <c r="N89" s="77"/>
      <c r="O89" s="77">
        <f t="shared" si="16"/>
        <v>199.554</v>
      </c>
    </row>
    <row r="90" spans="1:15" s="79" customFormat="1" ht="90.75" customHeight="1">
      <c r="A90" s="79">
        <v>34</v>
      </c>
      <c r="B90" s="138" t="s">
        <v>331</v>
      </c>
      <c r="C90" s="139" t="s">
        <v>48</v>
      </c>
      <c r="D90" s="171" t="s">
        <v>350</v>
      </c>
      <c r="E90" s="140">
        <f>SUM(E91:E92)</f>
        <v>909.541</v>
      </c>
      <c r="F90" s="140">
        <f aca="true" t="shared" si="19" ref="F90:N90">SUM(F91:F92)</f>
        <v>0</v>
      </c>
      <c r="G90" s="140">
        <f t="shared" si="19"/>
        <v>0</v>
      </c>
      <c r="H90" s="140">
        <f t="shared" si="18"/>
        <v>0</v>
      </c>
      <c r="I90" s="140">
        <f t="shared" si="19"/>
        <v>0</v>
      </c>
      <c r="J90" s="140">
        <f t="shared" si="19"/>
        <v>0</v>
      </c>
      <c r="K90" s="140">
        <f t="shared" si="19"/>
        <v>0</v>
      </c>
      <c r="L90" s="140">
        <f t="shared" si="19"/>
        <v>0</v>
      </c>
      <c r="M90" s="140">
        <f t="shared" si="19"/>
        <v>0</v>
      </c>
      <c r="N90" s="140">
        <f t="shared" si="19"/>
        <v>0</v>
      </c>
      <c r="O90" s="140">
        <f t="shared" si="16"/>
        <v>909.541</v>
      </c>
    </row>
    <row r="91" spans="2:15" s="79" customFormat="1" ht="88.5" customHeight="1">
      <c r="B91" s="74"/>
      <c r="C91" s="75" t="s">
        <v>48</v>
      </c>
      <c r="D91" s="76" t="s">
        <v>39</v>
      </c>
      <c r="E91" s="77">
        <f>408.6+74.946+4</f>
        <v>487.54600000000005</v>
      </c>
      <c r="F91" s="77"/>
      <c r="G91" s="77"/>
      <c r="H91" s="77">
        <f t="shared" si="18"/>
        <v>0</v>
      </c>
      <c r="I91" s="78"/>
      <c r="J91" s="77"/>
      <c r="K91" s="77"/>
      <c r="L91" s="77"/>
      <c r="M91" s="77"/>
      <c r="N91" s="77"/>
      <c r="O91" s="77">
        <f t="shared" si="16"/>
        <v>487.54600000000005</v>
      </c>
    </row>
    <row r="92" spans="2:15" s="79" customFormat="1" ht="81.75" customHeight="1">
      <c r="B92" s="74"/>
      <c r="C92" s="75" t="s">
        <v>48</v>
      </c>
      <c r="D92" s="117" t="s">
        <v>330</v>
      </c>
      <c r="E92" s="77">
        <f>349.52+72.475</f>
        <v>421.995</v>
      </c>
      <c r="F92" s="77"/>
      <c r="G92" s="77"/>
      <c r="H92" s="77">
        <f t="shared" si="18"/>
        <v>0</v>
      </c>
      <c r="I92" s="78"/>
      <c r="J92" s="77"/>
      <c r="K92" s="77"/>
      <c r="L92" s="77"/>
      <c r="M92" s="77"/>
      <c r="N92" s="77"/>
      <c r="O92" s="77">
        <f t="shared" si="16"/>
        <v>421.995</v>
      </c>
    </row>
    <row r="93" spans="1:15" s="141" customFormat="1" ht="81.75" customHeight="1">
      <c r="A93" s="141">
        <v>35</v>
      </c>
      <c r="B93" s="138" t="s">
        <v>332</v>
      </c>
      <c r="C93" s="139" t="s">
        <v>99</v>
      </c>
      <c r="D93" s="171" t="s">
        <v>40</v>
      </c>
      <c r="E93" s="140">
        <v>18</v>
      </c>
      <c r="F93" s="140"/>
      <c r="G93" s="140"/>
      <c r="H93" s="140">
        <f t="shared" si="18"/>
        <v>0</v>
      </c>
      <c r="I93" s="172"/>
      <c r="J93" s="140"/>
      <c r="K93" s="140"/>
      <c r="L93" s="140"/>
      <c r="M93" s="140"/>
      <c r="N93" s="140"/>
      <c r="O93" s="140">
        <f t="shared" si="16"/>
        <v>18</v>
      </c>
    </row>
    <row r="94" spans="2:16" s="126" customFormat="1" ht="73.5" customHeight="1">
      <c r="B94" s="122" t="s">
        <v>456</v>
      </c>
      <c r="C94" s="123"/>
      <c r="D94" s="124" t="s">
        <v>457</v>
      </c>
      <c r="E94" s="125">
        <f>SUM(E95:E103)</f>
        <v>28591.2</v>
      </c>
      <c r="F94" s="125">
        <f aca="true" t="shared" si="20" ref="F94:O94">SUM(F95:F103)</f>
        <v>0</v>
      </c>
      <c r="G94" s="125">
        <f t="shared" si="20"/>
        <v>0</v>
      </c>
      <c r="H94" s="125">
        <f t="shared" si="20"/>
        <v>0</v>
      </c>
      <c r="I94" s="125">
        <f t="shared" si="20"/>
        <v>0</v>
      </c>
      <c r="J94" s="125">
        <f t="shared" si="20"/>
        <v>0</v>
      </c>
      <c r="K94" s="125">
        <f t="shared" si="20"/>
        <v>0</v>
      </c>
      <c r="L94" s="125">
        <f t="shared" si="20"/>
        <v>0</v>
      </c>
      <c r="M94" s="125">
        <f t="shared" si="20"/>
        <v>0</v>
      </c>
      <c r="N94" s="125">
        <f t="shared" si="20"/>
        <v>0</v>
      </c>
      <c r="O94" s="125">
        <f t="shared" si="20"/>
        <v>28591.2</v>
      </c>
      <c r="P94" s="144">
        <f>E94+H94</f>
        <v>28591.2</v>
      </c>
    </row>
    <row r="95" spans="1:15" s="79" customFormat="1" ht="48" customHeight="1">
      <c r="A95" s="79">
        <v>36</v>
      </c>
      <c r="B95" s="114" t="s">
        <v>269</v>
      </c>
      <c r="C95" s="115" t="s">
        <v>74</v>
      </c>
      <c r="D95" s="116" t="s">
        <v>270</v>
      </c>
      <c r="E95" s="77">
        <f>300-10.864</f>
        <v>289.136</v>
      </c>
      <c r="F95" s="77"/>
      <c r="G95" s="77"/>
      <c r="H95" s="77">
        <f aca="true" t="shared" si="21" ref="H95:H108">I95+L95</f>
        <v>0</v>
      </c>
      <c r="I95" s="78"/>
      <c r="J95" s="77"/>
      <c r="K95" s="77"/>
      <c r="L95" s="77"/>
      <c r="M95" s="77"/>
      <c r="N95" s="77"/>
      <c r="O95" s="77">
        <f aca="true" t="shared" si="22" ref="O95:O108">E95+H95</f>
        <v>289.136</v>
      </c>
    </row>
    <row r="96" spans="1:15" s="79" customFormat="1" ht="56.25" customHeight="1">
      <c r="A96" s="79">
        <v>37</v>
      </c>
      <c r="B96" s="114" t="s">
        <v>271</v>
      </c>
      <c r="C96" s="115" t="s">
        <v>75</v>
      </c>
      <c r="D96" s="116" t="s">
        <v>272</v>
      </c>
      <c r="E96" s="77">
        <f>4320-23.431-21.646</f>
        <v>4274.923000000001</v>
      </c>
      <c r="F96" s="77"/>
      <c r="G96" s="77"/>
      <c r="H96" s="77">
        <f t="shared" si="21"/>
        <v>0</v>
      </c>
      <c r="I96" s="78"/>
      <c r="J96" s="77"/>
      <c r="K96" s="77"/>
      <c r="L96" s="77"/>
      <c r="M96" s="77"/>
      <c r="N96" s="77"/>
      <c r="O96" s="77">
        <f t="shared" si="22"/>
        <v>4274.923000000001</v>
      </c>
    </row>
    <row r="97" spans="1:15" s="79" customFormat="1" ht="39" customHeight="1">
      <c r="A97" s="79">
        <v>38</v>
      </c>
      <c r="B97" s="114" t="s">
        <v>273</v>
      </c>
      <c r="C97" s="115" t="s">
        <v>76</v>
      </c>
      <c r="D97" s="116" t="s">
        <v>274</v>
      </c>
      <c r="E97" s="77">
        <f>15485.2-37.478-69.044+27.87609-90.01551</f>
        <v>15316.538580000002</v>
      </c>
      <c r="F97" s="77"/>
      <c r="G97" s="77"/>
      <c r="H97" s="77">
        <f t="shared" si="21"/>
        <v>0</v>
      </c>
      <c r="I97" s="78"/>
      <c r="J97" s="77"/>
      <c r="K97" s="77"/>
      <c r="L97" s="77"/>
      <c r="M97" s="77"/>
      <c r="N97" s="77"/>
      <c r="O97" s="77">
        <f t="shared" si="22"/>
        <v>15316.538580000002</v>
      </c>
    </row>
    <row r="98" spans="1:15" s="79" customFormat="1" ht="66.75" customHeight="1">
      <c r="A98" s="79">
        <v>39</v>
      </c>
      <c r="B98" s="114" t="s">
        <v>275</v>
      </c>
      <c r="C98" s="115" t="s">
        <v>77</v>
      </c>
      <c r="D98" s="116" t="s">
        <v>276</v>
      </c>
      <c r="E98" s="77">
        <f>1800-8.7+6.058-11.97101</f>
        <v>1785.38699</v>
      </c>
      <c r="F98" s="77"/>
      <c r="G98" s="77"/>
      <c r="H98" s="77">
        <f t="shared" si="21"/>
        <v>0</v>
      </c>
      <c r="I98" s="78"/>
      <c r="J98" s="77"/>
      <c r="K98" s="77"/>
      <c r="L98" s="77"/>
      <c r="M98" s="77"/>
      <c r="N98" s="77"/>
      <c r="O98" s="77">
        <f t="shared" si="22"/>
        <v>1785.38699</v>
      </c>
    </row>
    <row r="99" spans="1:15" s="79" customFormat="1" ht="51.75" customHeight="1">
      <c r="A99" s="79">
        <v>40</v>
      </c>
      <c r="B99" s="114" t="s">
        <v>277</v>
      </c>
      <c r="C99" s="115" t="s">
        <v>78</v>
      </c>
      <c r="D99" s="117" t="s">
        <v>278</v>
      </c>
      <c r="E99" s="77">
        <f>2400-43.856</f>
        <v>2356.144</v>
      </c>
      <c r="F99" s="77"/>
      <c r="G99" s="77"/>
      <c r="H99" s="77">
        <f t="shared" si="21"/>
        <v>0</v>
      </c>
      <c r="I99" s="78"/>
      <c r="J99" s="77"/>
      <c r="K99" s="77"/>
      <c r="L99" s="77"/>
      <c r="M99" s="77"/>
      <c r="N99" s="77"/>
      <c r="O99" s="77">
        <f t="shared" si="22"/>
        <v>2356.144</v>
      </c>
    </row>
    <row r="100" spans="1:15" s="79" customFormat="1" ht="55.5" customHeight="1">
      <c r="A100" s="79">
        <v>41</v>
      </c>
      <c r="B100" s="114" t="s">
        <v>279</v>
      </c>
      <c r="C100" s="115" t="s">
        <v>105</v>
      </c>
      <c r="D100" s="117" t="s">
        <v>280</v>
      </c>
      <c r="E100" s="77">
        <f>530.9-34.27</f>
        <v>496.63</v>
      </c>
      <c r="F100" s="77"/>
      <c r="G100" s="77"/>
      <c r="H100" s="77">
        <f t="shared" si="21"/>
        <v>0</v>
      </c>
      <c r="I100" s="78"/>
      <c r="J100" s="77"/>
      <c r="K100" s="77"/>
      <c r="L100" s="77"/>
      <c r="M100" s="77"/>
      <c r="N100" s="77"/>
      <c r="O100" s="77">
        <f t="shared" si="22"/>
        <v>496.63</v>
      </c>
    </row>
    <row r="101" spans="1:15" s="79" customFormat="1" ht="52.5" customHeight="1">
      <c r="A101" s="79">
        <v>42</v>
      </c>
      <c r="B101" s="114" t="s">
        <v>281</v>
      </c>
      <c r="C101" s="115" t="s">
        <v>214</v>
      </c>
      <c r="D101" s="116" t="s">
        <v>282</v>
      </c>
      <c r="E101" s="77">
        <f>30.8+11.311+0.805+1.944+10.9967+1.61417</f>
        <v>57.470870000000005</v>
      </c>
      <c r="F101" s="77"/>
      <c r="G101" s="77"/>
      <c r="H101" s="77">
        <f t="shared" si="21"/>
        <v>0</v>
      </c>
      <c r="I101" s="78"/>
      <c r="J101" s="77"/>
      <c r="K101" s="77"/>
      <c r="L101" s="77"/>
      <c r="M101" s="77"/>
      <c r="N101" s="77"/>
      <c r="O101" s="77">
        <f t="shared" si="22"/>
        <v>57.470870000000005</v>
      </c>
    </row>
    <row r="102" spans="1:15" s="79" customFormat="1" ht="69" customHeight="1">
      <c r="A102" s="79">
        <v>43</v>
      </c>
      <c r="B102" s="114" t="s">
        <v>283</v>
      </c>
      <c r="C102" s="115" t="s">
        <v>50</v>
      </c>
      <c r="D102" s="116" t="s">
        <v>284</v>
      </c>
      <c r="E102" s="77">
        <f>768.7+26.167+22.626+75.8+76.64821+100.37235</f>
        <v>1070.31356</v>
      </c>
      <c r="F102" s="77"/>
      <c r="G102" s="77"/>
      <c r="H102" s="77">
        <f t="shared" si="21"/>
        <v>0</v>
      </c>
      <c r="I102" s="78"/>
      <c r="J102" s="77"/>
      <c r="K102" s="77"/>
      <c r="L102" s="77"/>
      <c r="M102" s="77"/>
      <c r="N102" s="77"/>
      <c r="O102" s="77">
        <f t="shared" si="22"/>
        <v>1070.31356</v>
      </c>
    </row>
    <row r="103" spans="1:15" s="79" customFormat="1" ht="69" customHeight="1">
      <c r="A103" s="79">
        <v>44</v>
      </c>
      <c r="B103" s="74" t="s">
        <v>326</v>
      </c>
      <c r="C103" s="75" t="s">
        <v>59</v>
      </c>
      <c r="D103" s="116" t="s">
        <v>325</v>
      </c>
      <c r="E103" s="77">
        <f>2955.6-10.943</f>
        <v>2944.6569999999997</v>
      </c>
      <c r="F103" s="77"/>
      <c r="G103" s="77"/>
      <c r="H103" s="77">
        <f t="shared" si="21"/>
        <v>0</v>
      </c>
      <c r="I103" s="78"/>
      <c r="J103" s="77"/>
      <c r="K103" s="77"/>
      <c r="L103" s="77"/>
      <c r="M103" s="77"/>
      <c r="N103" s="77"/>
      <c r="O103" s="77">
        <f t="shared" si="22"/>
        <v>2944.6569999999997</v>
      </c>
    </row>
    <row r="104" spans="1:16" s="126" customFormat="1" ht="76.5" customHeight="1">
      <c r="A104" s="126">
        <v>45</v>
      </c>
      <c r="B104" s="122" t="s">
        <v>263</v>
      </c>
      <c r="C104" s="123" t="s">
        <v>116</v>
      </c>
      <c r="D104" s="124" t="s">
        <v>264</v>
      </c>
      <c r="E104" s="125">
        <f>165.3+7</f>
        <v>172.3</v>
      </c>
      <c r="F104" s="125"/>
      <c r="G104" s="125"/>
      <c r="H104" s="125">
        <f t="shared" si="21"/>
        <v>0</v>
      </c>
      <c r="I104" s="128"/>
      <c r="J104" s="125"/>
      <c r="K104" s="125"/>
      <c r="L104" s="125"/>
      <c r="M104" s="125"/>
      <c r="N104" s="125"/>
      <c r="O104" s="125">
        <f t="shared" si="22"/>
        <v>172.3</v>
      </c>
      <c r="P104" s="126">
        <f>O104</f>
        <v>172.3</v>
      </c>
    </row>
    <row r="105" spans="2:15" s="126" customFormat="1" ht="76.5" customHeight="1">
      <c r="B105" s="122" t="s">
        <v>303</v>
      </c>
      <c r="C105" s="123" t="s">
        <v>51</v>
      </c>
      <c r="D105" s="124" t="s">
        <v>361</v>
      </c>
      <c r="E105" s="125">
        <f>E106+E107</f>
        <v>100.25041</v>
      </c>
      <c r="F105" s="125">
        <f aca="true" t="shared" si="23" ref="F105:O105">F106+F107</f>
        <v>0</v>
      </c>
      <c r="G105" s="125">
        <f t="shared" si="23"/>
        <v>0</v>
      </c>
      <c r="H105" s="125">
        <f t="shared" si="23"/>
        <v>0</v>
      </c>
      <c r="I105" s="125">
        <f t="shared" si="23"/>
        <v>0</v>
      </c>
      <c r="J105" s="125">
        <f t="shared" si="23"/>
        <v>0</v>
      </c>
      <c r="K105" s="125">
        <f t="shared" si="23"/>
        <v>0</v>
      </c>
      <c r="L105" s="125">
        <f t="shared" si="23"/>
        <v>0</v>
      </c>
      <c r="M105" s="125">
        <f t="shared" si="23"/>
        <v>0</v>
      </c>
      <c r="N105" s="125">
        <f t="shared" si="23"/>
        <v>0</v>
      </c>
      <c r="O105" s="125">
        <f t="shared" si="23"/>
        <v>100.25041</v>
      </c>
    </row>
    <row r="106" spans="1:16" s="79" customFormat="1" ht="36" customHeight="1">
      <c r="A106" s="79">
        <v>46</v>
      </c>
      <c r="B106" s="74"/>
      <c r="C106" s="75" t="s">
        <v>51</v>
      </c>
      <c r="D106" s="76" t="s">
        <v>362</v>
      </c>
      <c r="E106" s="77">
        <f>49.6+1.5+8.85041</f>
        <v>59.950410000000005</v>
      </c>
      <c r="F106" s="77"/>
      <c r="G106" s="77"/>
      <c r="H106" s="77">
        <f t="shared" si="21"/>
        <v>0</v>
      </c>
      <c r="I106" s="78"/>
      <c r="J106" s="77"/>
      <c r="K106" s="77"/>
      <c r="L106" s="77"/>
      <c r="M106" s="77"/>
      <c r="N106" s="77"/>
      <c r="O106" s="77">
        <f t="shared" si="22"/>
        <v>59.950410000000005</v>
      </c>
      <c r="P106" s="79">
        <f>O106</f>
        <v>59.950410000000005</v>
      </c>
    </row>
    <row r="107" spans="2:15" s="79" customFormat="1" ht="46.5" customHeight="1">
      <c r="B107" s="74"/>
      <c r="C107" s="75" t="s">
        <v>51</v>
      </c>
      <c r="D107" s="76" t="s">
        <v>363</v>
      </c>
      <c r="E107" s="77">
        <f>40.3</f>
        <v>40.3</v>
      </c>
      <c r="F107" s="77"/>
      <c r="G107" s="77"/>
      <c r="H107" s="77">
        <f>I107+L107</f>
        <v>0</v>
      </c>
      <c r="I107" s="78"/>
      <c r="J107" s="77"/>
      <c r="K107" s="77"/>
      <c r="L107" s="77"/>
      <c r="M107" s="77"/>
      <c r="N107" s="77"/>
      <c r="O107" s="77">
        <f>E107+H107</f>
        <v>40.3</v>
      </c>
    </row>
    <row r="108" spans="1:16" s="126" customFormat="1" ht="62.25" customHeight="1">
      <c r="A108" s="126">
        <v>47</v>
      </c>
      <c r="B108" s="122" t="s">
        <v>305</v>
      </c>
      <c r="C108" s="123" t="s">
        <v>100</v>
      </c>
      <c r="D108" s="127" t="s">
        <v>177</v>
      </c>
      <c r="E108" s="125">
        <f>19.3-5.2</f>
        <v>14.100000000000001</v>
      </c>
      <c r="F108" s="125"/>
      <c r="G108" s="125"/>
      <c r="H108" s="125">
        <f t="shared" si="21"/>
        <v>0</v>
      </c>
      <c r="I108" s="128"/>
      <c r="J108" s="125"/>
      <c r="K108" s="125"/>
      <c r="L108" s="125"/>
      <c r="M108" s="125"/>
      <c r="N108" s="125"/>
      <c r="O108" s="125">
        <f t="shared" si="22"/>
        <v>14.100000000000001</v>
      </c>
      <c r="P108" s="126">
        <f>O108</f>
        <v>14.100000000000001</v>
      </c>
    </row>
    <row r="109" spans="2:16" s="126" customFormat="1" ht="67.5" customHeight="1">
      <c r="B109" s="122" t="s">
        <v>458</v>
      </c>
      <c r="C109" s="123"/>
      <c r="D109" s="127" t="s">
        <v>459</v>
      </c>
      <c r="E109" s="125">
        <f>E110</f>
        <v>1584.89682</v>
      </c>
      <c r="F109" s="125">
        <f>F110</f>
        <v>978.43</v>
      </c>
      <c r="G109" s="125">
        <f>G110</f>
        <v>29.9</v>
      </c>
      <c r="H109" s="125">
        <f>H110</f>
        <v>192.25625000000002</v>
      </c>
      <c r="I109" s="125">
        <f aca="true" t="shared" si="24" ref="I109:N109">I110</f>
        <v>39.02</v>
      </c>
      <c r="J109" s="125">
        <f t="shared" si="24"/>
        <v>0</v>
      </c>
      <c r="K109" s="125">
        <f t="shared" si="24"/>
        <v>0</v>
      </c>
      <c r="L109" s="125">
        <f t="shared" si="24"/>
        <v>153.23625</v>
      </c>
      <c r="M109" s="125">
        <f t="shared" si="24"/>
        <v>10.7174</v>
      </c>
      <c r="N109" s="125">
        <f t="shared" si="24"/>
        <v>9.3974</v>
      </c>
      <c r="O109" s="135">
        <f>E109+H109</f>
        <v>1777.1530699999998</v>
      </c>
      <c r="P109" s="144">
        <f>E109+H109</f>
        <v>1777.1530699999998</v>
      </c>
    </row>
    <row r="110" spans="1:15" s="79" customFormat="1" ht="107.25" customHeight="1">
      <c r="A110" s="79">
        <v>48</v>
      </c>
      <c r="B110" s="74" t="s">
        <v>306</v>
      </c>
      <c r="C110" s="75" t="s">
        <v>47</v>
      </c>
      <c r="D110" s="116" t="s">
        <v>351</v>
      </c>
      <c r="E110" s="77">
        <f>SUM(E111:E112)</f>
        <v>1584.89682</v>
      </c>
      <c r="F110" s="77">
        <f aca="true" t="shared" si="25" ref="F110:N110">SUM(F111:F112)</f>
        <v>978.43</v>
      </c>
      <c r="G110" s="77">
        <f t="shared" si="25"/>
        <v>29.9</v>
      </c>
      <c r="H110" s="130">
        <f>I110+L110</f>
        <v>192.25625000000002</v>
      </c>
      <c r="I110" s="77">
        <f t="shared" si="25"/>
        <v>39.02</v>
      </c>
      <c r="J110" s="77">
        <f t="shared" si="25"/>
        <v>0</v>
      </c>
      <c r="K110" s="77">
        <f t="shared" si="25"/>
        <v>0</v>
      </c>
      <c r="L110" s="77">
        <f t="shared" si="25"/>
        <v>153.23625</v>
      </c>
      <c r="M110" s="77">
        <f t="shared" si="25"/>
        <v>10.7174</v>
      </c>
      <c r="N110" s="77">
        <f t="shared" si="25"/>
        <v>9.3974</v>
      </c>
      <c r="O110" s="132">
        <f>E110+H110</f>
        <v>1777.1530699999998</v>
      </c>
    </row>
    <row r="111" spans="2:15" s="79" customFormat="1" ht="64.5" customHeight="1">
      <c r="B111" s="74"/>
      <c r="C111" s="75" t="s">
        <v>47</v>
      </c>
      <c r="D111" s="116" t="s">
        <v>352</v>
      </c>
      <c r="E111" s="77">
        <f>1622.4+3.11422-9.3974-31.22</f>
        <v>1584.89682</v>
      </c>
      <c r="F111" s="77">
        <v>978.43</v>
      </c>
      <c r="G111" s="77">
        <v>29.9</v>
      </c>
      <c r="H111" s="130">
        <f>I111+L111</f>
        <v>56.0174</v>
      </c>
      <c r="I111" s="77">
        <v>39.02</v>
      </c>
      <c r="J111" s="77"/>
      <c r="K111" s="77"/>
      <c r="L111" s="77">
        <f>6.28+9.3974+1.32</f>
        <v>16.9974</v>
      </c>
      <c r="M111" s="77">
        <f>9.3974+1.32</f>
        <v>10.7174</v>
      </c>
      <c r="N111" s="77">
        <f>9.3974+1.32-1.32</f>
        <v>9.3974</v>
      </c>
      <c r="O111" s="132">
        <f>E111+H111</f>
        <v>1640.91422</v>
      </c>
    </row>
    <row r="112" spans="2:15" s="34" customFormat="1" ht="84" customHeight="1">
      <c r="B112" s="74"/>
      <c r="C112" s="75" t="s">
        <v>47</v>
      </c>
      <c r="D112" s="117" t="s">
        <v>353</v>
      </c>
      <c r="E112" s="77"/>
      <c r="F112" s="77"/>
      <c r="G112" s="77"/>
      <c r="H112" s="130">
        <f>I112+L112</f>
        <v>136.23885</v>
      </c>
      <c r="I112" s="77"/>
      <c r="J112" s="77"/>
      <c r="K112" s="77"/>
      <c r="L112" s="77">
        <v>136.23885</v>
      </c>
      <c r="M112" s="77"/>
      <c r="N112" s="131"/>
      <c r="O112" s="132">
        <f>E112+H112</f>
        <v>136.23885</v>
      </c>
    </row>
    <row r="113" spans="1:16" s="136" customFormat="1" ht="109.5" customHeight="1">
      <c r="A113" s="136">
        <v>49</v>
      </c>
      <c r="B113" s="122" t="s">
        <v>461</v>
      </c>
      <c r="C113" s="123"/>
      <c r="D113" s="127" t="s">
        <v>460</v>
      </c>
      <c r="E113" s="125">
        <f>SUM(E114:E116)</f>
        <v>101.99999999999999</v>
      </c>
      <c r="F113" s="125">
        <f aca="true" t="shared" si="26" ref="F113:O113">SUM(F114:F116)</f>
        <v>0</v>
      </c>
      <c r="G113" s="125">
        <f t="shared" si="26"/>
        <v>0</v>
      </c>
      <c r="H113" s="125">
        <f>SUM(H114:H116)</f>
        <v>0</v>
      </c>
      <c r="I113" s="125">
        <f t="shared" si="26"/>
        <v>0</v>
      </c>
      <c r="J113" s="125">
        <f t="shared" si="26"/>
        <v>0</v>
      </c>
      <c r="K113" s="125">
        <f t="shared" si="26"/>
        <v>0</v>
      </c>
      <c r="L113" s="125">
        <f t="shared" si="26"/>
        <v>0</v>
      </c>
      <c r="M113" s="125">
        <f t="shared" si="26"/>
        <v>0</v>
      </c>
      <c r="N113" s="125">
        <f t="shared" si="26"/>
        <v>0</v>
      </c>
      <c r="O113" s="125">
        <f t="shared" si="26"/>
        <v>101.99999999999999</v>
      </c>
      <c r="P113" s="145">
        <f>E113+H113</f>
        <v>101.99999999999999</v>
      </c>
    </row>
    <row r="114" spans="1:15" s="79" customFormat="1" ht="116.25" customHeight="1">
      <c r="A114" s="79">
        <v>50</v>
      </c>
      <c r="B114" s="74" t="s">
        <v>308</v>
      </c>
      <c r="C114" s="75" t="s">
        <v>146</v>
      </c>
      <c r="D114" s="112" t="s">
        <v>307</v>
      </c>
      <c r="E114" s="77">
        <f>140-10-35.4</f>
        <v>94.6</v>
      </c>
      <c r="F114" s="77"/>
      <c r="G114" s="77"/>
      <c r="H114" s="77">
        <f>I114+L114</f>
        <v>0</v>
      </c>
      <c r="I114" s="77"/>
      <c r="J114" s="77"/>
      <c r="K114" s="77"/>
      <c r="L114" s="77"/>
      <c r="M114" s="77"/>
      <c r="N114" s="77"/>
      <c r="O114" s="77">
        <f>E114+H114</f>
        <v>94.6</v>
      </c>
    </row>
    <row r="115" spans="1:15" s="79" customFormat="1" ht="87" customHeight="1">
      <c r="A115" s="79">
        <v>51</v>
      </c>
      <c r="B115" s="74" t="s">
        <v>328</v>
      </c>
      <c r="C115" s="75" t="s">
        <v>154</v>
      </c>
      <c r="D115" s="117" t="s">
        <v>327</v>
      </c>
      <c r="E115" s="77">
        <v>6.32</v>
      </c>
      <c r="F115" s="77"/>
      <c r="G115" s="77"/>
      <c r="H115" s="77">
        <f>I115+L115</f>
        <v>0</v>
      </c>
      <c r="I115" s="78"/>
      <c r="J115" s="77"/>
      <c r="K115" s="77"/>
      <c r="L115" s="77"/>
      <c r="M115" s="77"/>
      <c r="N115" s="77"/>
      <c r="O115" s="77">
        <f>E115+H115</f>
        <v>6.32</v>
      </c>
    </row>
    <row r="116" spans="1:15" s="79" customFormat="1" ht="49.5" customHeight="1">
      <c r="A116" s="79">
        <v>52</v>
      </c>
      <c r="B116" s="74" t="s">
        <v>329</v>
      </c>
      <c r="C116" s="75" t="s">
        <v>155</v>
      </c>
      <c r="D116" s="117" t="s">
        <v>215</v>
      </c>
      <c r="E116" s="77">
        <v>1.08</v>
      </c>
      <c r="F116" s="77"/>
      <c r="G116" s="77"/>
      <c r="H116" s="77">
        <f>I116+L116</f>
        <v>0</v>
      </c>
      <c r="I116" s="78"/>
      <c r="J116" s="77"/>
      <c r="K116" s="77"/>
      <c r="L116" s="77"/>
      <c r="M116" s="77"/>
      <c r="N116" s="77"/>
      <c r="O116" s="77">
        <f>E116+H116</f>
        <v>1.08</v>
      </c>
    </row>
    <row r="117" spans="1:16" s="126" customFormat="1" ht="120" customHeight="1">
      <c r="A117" s="126">
        <v>53</v>
      </c>
      <c r="B117" s="122" t="s">
        <v>323</v>
      </c>
      <c r="C117" s="123" t="s">
        <v>53</v>
      </c>
      <c r="D117" s="124" t="s">
        <v>322</v>
      </c>
      <c r="E117" s="125">
        <f>34.14-2-4.2</f>
        <v>27.94</v>
      </c>
      <c r="F117" s="125"/>
      <c r="G117" s="125"/>
      <c r="H117" s="125">
        <f>I117+L117</f>
        <v>0</v>
      </c>
      <c r="I117" s="125"/>
      <c r="J117" s="125"/>
      <c r="K117" s="125"/>
      <c r="L117" s="125"/>
      <c r="M117" s="125"/>
      <c r="N117" s="125"/>
      <c r="O117" s="125">
        <f>E117+H117</f>
        <v>27.94</v>
      </c>
      <c r="P117" s="144">
        <f>O117</f>
        <v>27.94</v>
      </c>
    </row>
    <row r="118" spans="2:16" s="126" customFormat="1" ht="63" customHeight="1">
      <c r="B118" s="122" t="s">
        <v>462</v>
      </c>
      <c r="C118" s="123"/>
      <c r="D118" s="124" t="s">
        <v>463</v>
      </c>
      <c r="E118" s="125">
        <f>SUM(E120:E122)</f>
        <v>195.8</v>
      </c>
      <c r="F118" s="125">
        <f aca="true" t="shared" si="27" ref="F118:N118">SUM(F120:F122)</f>
        <v>0</v>
      </c>
      <c r="G118" s="125">
        <f t="shared" si="27"/>
        <v>0</v>
      </c>
      <c r="H118" s="125">
        <f t="shared" si="27"/>
        <v>0</v>
      </c>
      <c r="I118" s="125">
        <f t="shared" si="27"/>
        <v>0</v>
      </c>
      <c r="J118" s="125">
        <f t="shared" si="27"/>
        <v>0</v>
      </c>
      <c r="K118" s="125">
        <f t="shared" si="27"/>
        <v>0</v>
      </c>
      <c r="L118" s="125">
        <f t="shared" si="27"/>
        <v>0</v>
      </c>
      <c r="M118" s="125">
        <f t="shared" si="27"/>
        <v>0</v>
      </c>
      <c r="N118" s="125">
        <f t="shared" si="27"/>
        <v>0</v>
      </c>
      <c r="O118" s="125">
        <f>SUM(O120:O122)</f>
        <v>195.8</v>
      </c>
      <c r="P118" s="144">
        <f>E118+H118</f>
        <v>195.8</v>
      </c>
    </row>
    <row r="119" spans="1:16" s="126" customFormat="1" ht="63" customHeight="1">
      <c r="A119" s="126">
        <v>54</v>
      </c>
      <c r="B119" s="74" t="s">
        <v>304</v>
      </c>
      <c r="C119" s="75" t="s">
        <v>58</v>
      </c>
      <c r="D119" s="76" t="s">
        <v>354</v>
      </c>
      <c r="E119" s="20">
        <f aca="true" t="shared" si="28" ref="E119:N119">SUM(E120:E121)</f>
        <v>93.57000000000002</v>
      </c>
      <c r="F119" s="20">
        <f t="shared" si="28"/>
        <v>0</v>
      </c>
      <c r="G119" s="20">
        <f t="shared" si="28"/>
        <v>0</v>
      </c>
      <c r="H119" s="20">
        <f t="shared" si="28"/>
        <v>0</v>
      </c>
      <c r="I119" s="20">
        <f t="shared" si="28"/>
        <v>0</v>
      </c>
      <c r="J119" s="20">
        <f t="shared" si="28"/>
        <v>0</v>
      </c>
      <c r="K119" s="20">
        <f t="shared" si="28"/>
        <v>0</v>
      </c>
      <c r="L119" s="20">
        <f t="shared" si="28"/>
        <v>0</v>
      </c>
      <c r="M119" s="20">
        <f t="shared" si="28"/>
        <v>0</v>
      </c>
      <c r="N119" s="20">
        <f t="shared" si="28"/>
        <v>0</v>
      </c>
      <c r="O119" s="77">
        <f>E119+H119</f>
        <v>93.57000000000002</v>
      </c>
      <c r="P119" s="144"/>
    </row>
    <row r="120" spans="2:15" s="79" customFormat="1" ht="50.25" customHeight="1">
      <c r="B120" s="74"/>
      <c r="C120" s="75" t="s">
        <v>58</v>
      </c>
      <c r="D120" s="76" t="s">
        <v>356</v>
      </c>
      <c r="E120" s="113">
        <f>22.92+1.32</f>
        <v>24.240000000000002</v>
      </c>
      <c r="F120" s="77"/>
      <c r="G120" s="77"/>
      <c r="H120" s="77">
        <f>I120+L120</f>
        <v>0</v>
      </c>
      <c r="I120" s="77"/>
      <c r="J120" s="77"/>
      <c r="K120" s="77"/>
      <c r="L120" s="77"/>
      <c r="M120" s="77"/>
      <c r="N120" s="77"/>
      <c r="O120" s="77">
        <f>E120+H120</f>
        <v>24.240000000000002</v>
      </c>
    </row>
    <row r="121" spans="2:15" s="79" customFormat="1" ht="55.5" customHeight="1">
      <c r="B121" s="74"/>
      <c r="C121" s="75" t="s">
        <v>58</v>
      </c>
      <c r="D121" s="76" t="s">
        <v>355</v>
      </c>
      <c r="E121" s="77">
        <f>86.65-11.82-5.5</f>
        <v>69.33000000000001</v>
      </c>
      <c r="F121" s="77"/>
      <c r="G121" s="77"/>
      <c r="H121" s="77">
        <f>I121+L121</f>
        <v>0</v>
      </c>
      <c r="I121" s="77"/>
      <c r="J121" s="77"/>
      <c r="K121" s="77"/>
      <c r="L121" s="77"/>
      <c r="M121" s="77"/>
      <c r="N121" s="77"/>
      <c r="O121" s="77">
        <f>E121+H121</f>
        <v>69.33000000000001</v>
      </c>
    </row>
    <row r="122" spans="1:15" s="79" customFormat="1" ht="137.25" customHeight="1">
      <c r="A122" s="79">
        <v>55</v>
      </c>
      <c r="B122" s="74" t="s">
        <v>324</v>
      </c>
      <c r="C122" s="75" t="s">
        <v>52</v>
      </c>
      <c r="D122" s="76" t="s">
        <v>0</v>
      </c>
      <c r="E122" s="77">
        <v>102.23</v>
      </c>
      <c r="F122" s="77"/>
      <c r="G122" s="77"/>
      <c r="H122" s="77">
        <f>I122+L122</f>
        <v>0</v>
      </c>
      <c r="I122" s="77"/>
      <c r="J122" s="77"/>
      <c r="K122" s="77"/>
      <c r="L122" s="77"/>
      <c r="M122" s="77"/>
      <c r="N122" s="77"/>
      <c r="O122" s="77">
        <f>E122+H122</f>
        <v>102.23</v>
      </c>
    </row>
    <row r="123" spans="2:16" s="141" customFormat="1" ht="56.25" customHeight="1">
      <c r="B123" s="138" t="s">
        <v>464</v>
      </c>
      <c r="C123" s="139"/>
      <c r="D123" s="124" t="s">
        <v>465</v>
      </c>
      <c r="E123" s="140">
        <f>SUM(E124:E136)</f>
        <v>1021.9944199999999</v>
      </c>
      <c r="F123" s="140">
        <f aca="true" t="shared" si="29" ref="F123:O123">SUM(F124:F136)</f>
        <v>0</v>
      </c>
      <c r="G123" s="140">
        <f t="shared" si="29"/>
        <v>0</v>
      </c>
      <c r="H123" s="140">
        <f t="shared" si="29"/>
        <v>0</v>
      </c>
      <c r="I123" s="140">
        <f t="shared" si="29"/>
        <v>0</v>
      </c>
      <c r="J123" s="140">
        <f t="shared" si="29"/>
        <v>0</v>
      </c>
      <c r="K123" s="140">
        <f t="shared" si="29"/>
        <v>0</v>
      </c>
      <c r="L123" s="140">
        <f t="shared" si="29"/>
        <v>0</v>
      </c>
      <c r="M123" s="140">
        <f t="shared" si="29"/>
        <v>0</v>
      </c>
      <c r="N123" s="140">
        <f t="shared" si="29"/>
        <v>0</v>
      </c>
      <c r="O123" s="140">
        <f t="shared" si="29"/>
        <v>1021.9944199999999</v>
      </c>
      <c r="P123" s="146">
        <f>E123+H123</f>
        <v>1021.9944199999999</v>
      </c>
    </row>
    <row r="124" spans="1:16" s="79" customFormat="1" ht="67.5" customHeight="1">
      <c r="A124" s="79">
        <v>56</v>
      </c>
      <c r="B124" s="74" t="s">
        <v>315</v>
      </c>
      <c r="C124" s="75" t="s">
        <v>57</v>
      </c>
      <c r="D124" s="117" t="s">
        <v>289</v>
      </c>
      <c r="E124" s="77">
        <f>1099.46+3.67942-119-15-1.525+2.55-63.205-53.976</f>
        <v>852.9834199999999</v>
      </c>
      <c r="F124" s="77">
        <f>SUM(F125:F134)</f>
        <v>0</v>
      </c>
      <c r="G124" s="77">
        <f>SUM(G125:G134)</f>
        <v>0</v>
      </c>
      <c r="H124" s="77">
        <f aca="true" t="shared" si="30" ref="H124:H136">I124+L124</f>
        <v>0</v>
      </c>
      <c r="I124" s="77">
        <f>SUM(I125:I135)</f>
        <v>0</v>
      </c>
      <c r="J124" s="77">
        <f>SUM(J125:J134)</f>
        <v>0</v>
      </c>
      <c r="K124" s="77">
        <f>SUM(K125:K134)</f>
        <v>0</v>
      </c>
      <c r="L124" s="77">
        <v>0</v>
      </c>
      <c r="M124" s="77">
        <v>0</v>
      </c>
      <c r="N124" s="77">
        <v>0</v>
      </c>
      <c r="O124" s="77">
        <f aca="true" t="shared" si="31" ref="O124:O151">E124+H124</f>
        <v>852.9834199999999</v>
      </c>
      <c r="P124" s="142"/>
    </row>
    <row r="125" spans="2:15" s="79" customFormat="1" ht="80.25" customHeight="1" hidden="1">
      <c r="B125" s="74" t="s">
        <v>290</v>
      </c>
      <c r="C125" s="75" t="s">
        <v>57</v>
      </c>
      <c r="D125" s="117" t="s">
        <v>203</v>
      </c>
      <c r="E125" s="77"/>
      <c r="F125" s="131"/>
      <c r="G125" s="131"/>
      <c r="H125" s="130">
        <f t="shared" si="30"/>
        <v>0</v>
      </c>
      <c r="I125" s="131"/>
      <c r="J125" s="131"/>
      <c r="K125" s="131"/>
      <c r="L125" s="131"/>
      <c r="M125" s="131"/>
      <c r="N125" s="131"/>
      <c r="O125" s="132">
        <f t="shared" si="31"/>
        <v>0</v>
      </c>
    </row>
    <row r="126" spans="1:15" s="79" customFormat="1" ht="48" customHeight="1">
      <c r="A126" s="79">
        <v>57</v>
      </c>
      <c r="B126" s="74" t="s">
        <v>290</v>
      </c>
      <c r="C126" s="75" t="s">
        <v>57</v>
      </c>
      <c r="D126" s="117" t="s">
        <v>204</v>
      </c>
      <c r="E126" s="77">
        <v>90</v>
      </c>
      <c r="F126" s="131"/>
      <c r="G126" s="131"/>
      <c r="H126" s="130">
        <f t="shared" si="30"/>
        <v>0</v>
      </c>
      <c r="I126" s="131"/>
      <c r="J126" s="131"/>
      <c r="K126" s="131"/>
      <c r="L126" s="131"/>
      <c r="M126" s="131"/>
      <c r="N126" s="131"/>
      <c r="O126" s="132">
        <f t="shared" si="31"/>
        <v>90</v>
      </c>
    </row>
    <row r="127" spans="1:15" s="79" customFormat="1" ht="64.5" customHeight="1">
      <c r="A127" s="79">
        <v>58</v>
      </c>
      <c r="B127" s="74" t="s">
        <v>316</v>
      </c>
      <c r="C127" s="75" t="s">
        <v>57</v>
      </c>
      <c r="D127" s="117" t="s">
        <v>175</v>
      </c>
      <c r="E127" s="77">
        <f>20-14+1.525</f>
        <v>7.525</v>
      </c>
      <c r="F127" s="131"/>
      <c r="G127" s="131"/>
      <c r="H127" s="130">
        <f t="shared" si="30"/>
        <v>0</v>
      </c>
      <c r="I127" s="131"/>
      <c r="J127" s="131"/>
      <c r="K127" s="131"/>
      <c r="L127" s="77">
        <f>250-250</f>
        <v>0</v>
      </c>
      <c r="M127" s="77">
        <f>250-250</f>
        <v>0</v>
      </c>
      <c r="N127" s="77">
        <f>250-250</f>
        <v>0</v>
      </c>
      <c r="O127" s="132">
        <f t="shared" si="31"/>
        <v>7.525</v>
      </c>
    </row>
    <row r="128" spans="1:15" s="79" customFormat="1" ht="58.5" customHeight="1">
      <c r="A128" s="79">
        <v>59</v>
      </c>
      <c r="B128" s="74" t="s">
        <v>317</v>
      </c>
      <c r="C128" s="75" t="s">
        <v>57</v>
      </c>
      <c r="D128" s="117" t="s">
        <v>206</v>
      </c>
      <c r="E128" s="77">
        <f>10+14+10</f>
        <v>34</v>
      </c>
      <c r="F128" s="131"/>
      <c r="G128" s="131"/>
      <c r="H128" s="130">
        <f t="shared" si="30"/>
        <v>0</v>
      </c>
      <c r="I128" s="131"/>
      <c r="J128" s="131"/>
      <c r="K128" s="131"/>
      <c r="L128" s="131"/>
      <c r="M128" s="131"/>
      <c r="N128" s="131"/>
      <c r="O128" s="132">
        <f t="shared" si="31"/>
        <v>34</v>
      </c>
    </row>
    <row r="129" spans="1:15" s="79" customFormat="1" ht="62.25" customHeight="1" hidden="1">
      <c r="A129" s="79">
        <v>59</v>
      </c>
      <c r="B129" s="74" t="s">
        <v>318</v>
      </c>
      <c r="C129" s="75" t="s">
        <v>57</v>
      </c>
      <c r="D129" s="76" t="s">
        <v>302</v>
      </c>
      <c r="E129" s="77"/>
      <c r="F129" s="131"/>
      <c r="G129" s="131"/>
      <c r="H129" s="130">
        <f t="shared" si="30"/>
        <v>0</v>
      </c>
      <c r="I129" s="131"/>
      <c r="J129" s="131"/>
      <c r="K129" s="131"/>
      <c r="L129" s="131"/>
      <c r="M129" s="131"/>
      <c r="N129" s="131"/>
      <c r="O129" s="132">
        <f t="shared" si="31"/>
        <v>0</v>
      </c>
    </row>
    <row r="130" spans="1:15" s="79" customFormat="1" ht="57" customHeight="1" hidden="1">
      <c r="A130" s="79">
        <v>60</v>
      </c>
      <c r="B130" s="74" t="s">
        <v>296</v>
      </c>
      <c r="C130" s="75" t="s">
        <v>57</v>
      </c>
      <c r="D130" s="76" t="s">
        <v>426</v>
      </c>
      <c r="E130" s="77"/>
      <c r="F130" s="131"/>
      <c r="G130" s="131"/>
      <c r="H130" s="130">
        <f t="shared" si="30"/>
        <v>0</v>
      </c>
      <c r="I130" s="131"/>
      <c r="J130" s="131"/>
      <c r="K130" s="131"/>
      <c r="L130" s="131"/>
      <c r="M130" s="131"/>
      <c r="N130" s="131"/>
      <c r="O130" s="132">
        <f t="shared" si="31"/>
        <v>0</v>
      </c>
    </row>
    <row r="131" spans="2:15" s="79" customFormat="1" ht="78" customHeight="1" hidden="1">
      <c r="B131" s="74" t="s">
        <v>297</v>
      </c>
      <c r="C131" s="75" t="s">
        <v>57</v>
      </c>
      <c r="D131" s="76" t="s">
        <v>427</v>
      </c>
      <c r="E131" s="77"/>
      <c r="F131" s="131"/>
      <c r="G131" s="131"/>
      <c r="H131" s="130">
        <f t="shared" si="30"/>
        <v>0</v>
      </c>
      <c r="I131" s="131"/>
      <c r="J131" s="131"/>
      <c r="K131" s="131"/>
      <c r="L131" s="131"/>
      <c r="M131" s="131"/>
      <c r="N131" s="131"/>
      <c r="O131" s="132">
        <f t="shared" si="31"/>
        <v>0</v>
      </c>
    </row>
    <row r="132" spans="1:15" s="79" customFormat="1" ht="84.75" customHeight="1" hidden="1">
      <c r="A132" s="79">
        <v>61</v>
      </c>
      <c r="B132" s="74" t="s">
        <v>298</v>
      </c>
      <c r="C132" s="75" t="s">
        <v>57</v>
      </c>
      <c r="D132" s="117" t="s">
        <v>428</v>
      </c>
      <c r="E132" s="77"/>
      <c r="F132" s="131"/>
      <c r="G132" s="131"/>
      <c r="H132" s="130">
        <f t="shared" si="30"/>
        <v>0</v>
      </c>
      <c r="I132" s="131"/>
      <c r="J132" s="131"/>
      <c r="K132" s="131"/>
      <c r="L132" s="131"/>
      <c r="M132" s="131"/>
      <c r="N132" s="131"/>
      <c r="O132" s="132">
        <f t="shared" si="31"/>
        <v>0</v>
      </c>
    </row>
    <row r="133" spans="1:15" s="79" customFormat="1" ht="77.25" customHeight="1" hidden="1">
      <c r="A133" s="79">
        <v>62</v>
      </c>
      <c r="B133" s="74" t="s">
        <v>299</v>
      </c>
      <c r="C133" s="75" t="s">
        <v>57</v>
      </c>
      <c r="D133" s="117" t="s">
        <v>429</v>
      </c>
      <c r="E133" s="77"/>
      <c r="F133" s="131"/>
      <c r="G133" s="131"/>
      <c r="H133" s="130">
        <f t="shared" si="30"/>
        <v>0</v>
      </c>
      <c r="I133" s="131"/>
      <c r="J133" s="131"/>
      <c r="K133" s="131"/>
      <c r="L133" s="131"/>
      <c r="M133" s="131"/>
      <c r="N133" s="131"/>
      <c r="O133" s="132">
        <f t="shared" si="31"/>
        <v>0</v>
      </c>
    </row>
    <row r="134" spans="2:15" s="79" customFormat="1" ht="78" customHeight="1" hidden="1">
      <c r="B134" s="74" t="s">
        <v>300</v>
      </c>
      <c r="C134" s="75" t="s">
        <v>57</v>
      </c>
      <c r="D134" s="117" t="s">
        <v>430</v>
      </c>
      <c r="E134" s="77"/>
      <c r="F134" s="131"/>
      <c r="G134" s="131"/>
      <c r="H134" s="130">
        <f t="shared" si="30"/>
        <v>0</v>
      </c>
      <c r="I134" s="131"/>
      <c r="J134" s="131"/>
      <c r="K134" s="131"/>
      <c r="L134" s="131"/>
      <c r="M134" s="131"/>
      <c r="N134" s="131"/>
      <c r="O134" s="132">
        <f t="shared" si="31"/>
        <v>0</v>
      </c>
    </row>
    <row r="135" spans="1:15" s="79" customFormat="1" ht="44.25" customHeight="1">
      <c r="A135" s="79">
        <v>60</v>
      </c>
      <c r="B135" s="74" t="s">
        <v>318</v>
      </c>
      <c r="C135" s="75" t="s">
        <v>57</v>
      </c>
      <c r="D135" s="117" t="s">
        <v>93</v>
      </c>
      <c r="E135" s="77">
        <f>40.7-3.214</f>
        <v>37.486000000000004</v>
      </c>
      <c r="F135" s="77"/>
      <c r="G135" s="77"/>
      <c r="H135" s="77">
        <f t="shared" si="30"/>
        <v>0</v>
      </c>
      <c r="I135" s="77"/>
      <c r="J135" s="77"/>
      <c r="K135" s="77"/>
      <c r="L135" s="77"/>
      <c r="M135" s="77"/>
      <c r="N135" s="77"/>
      <c r="O135" s="77">
        <f t="shared" si="31"/>
        <v>37.486000000000004</v>
      </c>
    </row>
    <row r="136" spans="2:15" s="79" customFormat="1" ht="77.25" customHeight="1" hidden="1">
      <c r="B136" s="74" t="s">
        <v>301</v>
      </c>
      <c r="C136" s="75" t="s">
        <v>57</v>
      </c>
      <c r="D136" s="117" t="s">
        <v>431</v>
      </c>
      <c r="E136" s="77"/>
      <c r="F136" s="77"/>
      <c r="G136" s="77"/>
      <c r="H136" s="77">
        <f t="shared" si="30"/>
        <v>0</v>
      </c>
      <c r="I136" s="78"/>
      <c r="J136" s="77"/>
      <c r="K136" s="77"/>
      <c r="L136" s="77"/>
      <c r="M136" s="77"/>
      <c r="N136" s="77"/>
      <c r="O136" s="77">
        <f t="shared" si="31"/>
        <v>0</v>
      </c>
    </row>
    <row r="137" spans="1:16" s="126" customFormat="1" ht="97.5" customHeight="1">
      <c r="A137" s="126">
        <v>61</v>
      </c>
      <c r="B137" s="122" t="s">
        <v>466</v>
      </c>
      <c r="C137" s="123" t="s">
        <v>160</v>
      </c>
      <c r="D137" s="143" t="s">
        <v>174</v>
      </c>
      <c r="E137" s="134"/>
      <c r="F137" s="134"/>
      <c r="G137" s="134"/>
      <c r="H137" s="133">
        <f>I137+L137</f>
        <v>32.9</v>
      </c>
      <c r="I137" s="125">
        <v>32.9</v>
      </c>
      <c r="J137" s="134"/>
      <c r="K137" s="134"/>
      <c r="L137" s="134"/>
      <c r="M137" s="134"/>
      <c r="N137" s="134"/>
      <c r="O137" s="135">
        <f t="shared" si="31"/>
        <v>32.9</v>
      </c>
      <c r="P137" s="144">
        <f>E137+H137</f>
        <v>32.9</v>
      </c>
    </row>
    <row r="138" spans="1:16" s="126" customFormat="1" ht="94.5" customHeight="1">
      <c r="A138" s="126">
        <v>62</v>
      </c>
      <c r="B138" s="122" t="s">
        <v>11</v>
      </c>
      <c r="C138" s="123" t="s">
        <v>92</v>
      </c>
      <c r="D138" s="151" t="s">
        <v>12</v>
      </c>
      <c r="E138" s="125">
        <f>30-22.2</f>
        <v>7.800000000000001</v>
      </c>
      <c r="F138" s="134"/>
      <c r="G138" s="134"/>
      <c r="H138" s="133">
        <f aca="true" t="shared" si="32" ref="H138:H151">I138+L138</f>
        <v>0</v>
      </c>
      <c r="I138" s="125"/>
      <c r="J138" s="134"/>
      <c r="K138" s="134"/>
      <c r="L138" s="134"/>
      <c r="M138" s="134"/>
      <c r="N138" s="134"/>
      <c r="O138" s="135">
        <f t="shared" si="31"/>
        <v>7.800000000000001</v>
      </c>
      <c r="P138" s="144"/>
    </row>
    <row r="139" spans="1:16" s="126" customFormat="1" ht="84" customHeight="1">
      <c r="A139" s="126">
        <v>63</v>
      </c>
      <c r="B139" s="122" t="s">
        <v>123</v>
      </c>
      <c r="C139" s="123" t="s">
        <v>148</v>
      </c>
      <c r="D139" s="151" t="s">
        <v>357</v>
      </c>
      <c r="E139" s="125">
        <f>SUM(E140:E151)</f>
        <v>211.434</v>
      </c>
      <c r="F139" s="125">
        <f>SUM(F140:F151)</f>
        <v>0</v>
      </c>
      <c r="G139" s="125">
        <f>SUM(G140:G151)</f>
        <v>0</v>
      </c>
      <c r="H139" s="125">
        <f>SUM(H140:H151)</f>
        <v>405.866</v>
      </c>
      <c r="I139" s="125">
        <f aca="true" t="shared" si="33" ref="I139:N139">SUM(I140:I151)</f>
        <v>0</v>
      </c>
      <c r="J139" s="125">
        <f t="shared" si="33"/>
        <v>0</v>
      </c>
      <c r="K139" s="125">
        <f t="shared" si="33"/>
        <v>0</v>
      </c>
      <c r="L139" s="125">
        <f t="shared" si="33"/>
        <v>405.866</v>
      </c>
      <c r="M139" s="125">
        <f t="shared" si="33"/>
        <v>405.866</v>
      </c>
      <c r="N139" s="125">
        <f t="shared" si="33"/>
        <v>75.86599999999999</v>
      </c>
      <c r="O139" s="135">
        <f>E139+H139</f>
        <v>617.3</v>
      </c>
      <c r="P139" s="144"/>
    </row>
    <row r="140" spans="2:16" s="79" customFormat="1" ht="77.25" customHeight="1">
      <c r="B140" s="74"/>
      <c r="C140" s="75" t="s">
        <v>148</v>
      </c>
      <c r="D140" s="76" t="s">
        <v>358</v>
      </c>
      <c r="E140" s="77">
        <f>32-18+8.9+0.6</f>
        <v>23.5</v>
      </c>
      <c r="F140" s="131"/>
      <c r="G140" s="131"/>
      <c r="H140" s="68">
        <f t="shared" si="32"/>
        <v>135.39999999999998</v>
      </c>
      <c r="I140" s="77"/>
      <c r="J140" s="131"/>
      <c r="K140" s="131"/>
      <c r="L140" s="77">
        <f>18-8.9+60+83.3-17</f>
        <v>135.39999999999998</v>
      </c>
      <c r="M140" s="77">
        <f>18-8.9+60+83.3-17</f>
        <v>135.39999999999998</v>
      </c>
      <c r="N140" s="77">
        <f>18-8.9+83.3-17-70</f>
        <v>5.3999999999999915</v>
      </c>
      <c r="O140" s="69">
        <f t="shared" si="31"/>
        <v>158.89999999999998</v>
      </c>
      <c r="P140" s="167"/>
    </row>
    <row r="141" spans="2:16" s="79" customFormat="1" ht="49.5" customHeight="1">
      <c r="B141" s="74"/>
      <c r="C141" s="75" t="s">
        <v>148</v>
      </c>
      <c r="D141" s="76" t="s">
        <v>359</v>
      </c>
      <c r="E141" s="77">
        <f>70-2.5+2.5-5.166-37</f>
        <v>27.834000000000003</v>
      </c>
      <c r="F141" s="131"/>
      <c r="G141" s="131"/>
      <c r="H141" s="68">
        <f t="shared" si="32"/>
        <v>5.166</v>
      </c>
      <c r="I141" s="77"/>
      <c r="J141" s="131"/>
      <c r="K141" s="131"/>
      <c r="L141" s="77">
        <v>5.166</v>
      </c>
      <c r="M141" s="77">
        <v>5.166</v>
      </c>
      <c r="N141" s="77">
        <v>5.166</v>
      </c>
      <c r="O141" s="69">
        <f t="shared" si="31"/>
        <v>33</v>
      </c>
      <c r="P141" s="167"/>
    </row>
    <row r="142" spans="2:16" s="79" customFormat="1" ht="49.5" customHeight="1">
      <c r="B142" s="74"/>
      <c r="C142" s="75" t="s">
        <v>148</v>
      </c>
      <c r="D142" s="76" t="s">
        <v>360</v>
      </c>
      <c r="E142" s="77">
        <f>19-19</f>
        <v>0</v>
      </c>
      <c r="F142" s="131"/>
      <c r="G142" s="131"/>
      <c r="H142" s="68">
        <f t="shared" si="32"/>
        <v>0</v>
      </c>
      <c r="I142" s="77"/>
      <c r="J142" s="131"/>
      <c r="K142" s="131"/>
      <c r="L142" s="77"/>
      <c r="M142" s="77"/>
      <c r="N142" s="77"/>
      <c r="O142" s="69">
        <f t="shared" si="31"/>
        <v>0</v>
      </c>
      <c r="P142" s="167"/>
    </row>
    <row r="143" spans="2:16" s="79" customFormat="1" ht="53.25" customHeight="1">
      <c r="B143" s="74"/>
      <c r="C143" s="75" t="s">
        <v>148</v>
      </c>
      <c r="D143" s="155" t="s">
        <v>365</v>
      </c>
      <c r="E143" s="77">
        <v>45</v>
      </c>
      <c r="F143" s="131"/>
      <c r="G143" s="131"/>
      <c r="H143" s="68">
        <f t="shared" si="32"/>
        <v>0</v>
      </c>
      <c r="I143" s="77"/>
      <c r="J143" s="131"/>
      <c r="K143" s="131"/>
      <c r="L143" s="77"/>
      <c r="M143" s="77"/>
      <c r="N143" s="77"/>
      <c r="O143" s="69">
        <f t="shared" si="31"/>
        <v>45</v>
      </c>
      <c r="P143" s="167"/>
    </row>
    <row r="144" spans="2:16" s="79" customFormat="1" ht="63" customHeight="1">
      <c r="B144" s="74"/>
      <c r="C144" s="75" t="s">
        <v>148</v>
      </c>
      <c r="D144" s="117" t="s">
        <v>366</v>
      </c>
      <c r="E144" s="77">
        <v>15</v>
      </c>
      <c r="F144" s="131"/>
      <c r="G144" s="131"/>
      <c r="H144" s="68">
        <f t="shared" si="32"/>
        <v>0</v>
      </c>
      <c r="I144" s="77"/>
      <c r="J144" s="131"/>
      <c r="K144" s="131"/>
      <c r="L144" s="77"/>
      <c r="M144" s="77"/>
      <c r="N144" s="77"/>
      <c r="O144" s="69">
        <f t="shared" si="31"/>
        <v>15</v>
      </c>
      <c r="P144" s="167"/>
    </row>
    <row r="145" spans="2:16" s="79" customFormat="1" ht="130.5" customHeight="1" hidden="1">
      <c r="B145" s="74"/>
      <c r="C145" s="75" t="s">
        <v>148</v>
      </c>
      <c r="D145" s="76" t="s">
        <v>19</v>
      </c>
      <c r="E145" s="77"/>
      <c r="F145" s="131"/>
      <c r="G145" s="131"/>
      <c r="H145" s="68">
        <f t="shared" si="32"/>
        <v>0</v>
      </c>
      <c r="I145" s="77"/>
      <c r="J145" s="131"/>
      <c r="K145" s="131"/>
      <c r="L145" s="77"/>
      <c r="M145" s="77"/>
      <c r="N145" s="77"/>
      <c r="O145" s="69">
        <f t="shared" si="31"/>
        <v>0</v>
      </c>
      <c r="P145" s="167"/>
    </row>
    <row r="146" spans="2:16" s="79" customFormat="1" ht="122.25" customHeight="1" hidden="1">
      <c r="B146" s="74"/>
      <c r="C146" s="75" t="s">
        <v>148</v>
      </c>
      <c r="D146" s="76" t="s">
        <v>130</v>
      </c>
      <c r="E146" s="77"/>
      <c r="F146" s="131"/>
      <c r="G146" s="131"/>
      <c r="H146" s="68">
        <f t="shared" si="32"/>
        <v>0</v>
      </c>
      <c r="I146" s="77"/>
      <c r="J146" s="131"/>
      <c r="K146" s="131"/>
      <c r="L146" s="77"/>
      <c r="M146" s="77"/>
      <c r="N146" s="77"/>
      <c r="O146" s="69">
        <f t="shared" si="31"/>
        <v>0</v>
      </c>
      <c r="P146" s="167"/>
    </row>
    <row r="147" spans="2:16" s="79" customFormat="1" ht="63.75" customHeight="1" hidden="1">
      <c r="B147" s="74"/>
      <c r="C147" s="75" t="s">
        <v>148</v>
      </c>
      <c r="D147" s="76" t="s">
        <v>367</v>
      </c>
      <c r="E147" s="77">
        <f>34.6-25-9.6</f>
        <v>0</v>
      </c>
      <c r="F147" s="131"/>
      <c r="G147" s="131"/>
      <c r="H147" s="68">
        <f t="shared" si="32"/>
        <v>0</v>
      </c>
      <c r="I147" s="77"/>
      <c r="J147" s="131"/>
      <c r="K147" s="131"/>
      <c r="L147" s="77"/>
      <c r="M147" s="77"/>
      <c r="N147" s="77"/>
      <c r="O147" s="69">
        <f t="shared" si="31"/>
        <v>0</v>
      </c>
      <c r="P147" s="167"/>
    </row>
    <row r="148" spans="2:16" s="79" customFormat="1" ht="48.75" customHeight="1" hidden="1">
      <c r="B148" s="74"/>
      <c r="C148" s="75" t="s">
        <v>148</v>
      </c>
      <c r="D148" s="155" t="s">
        <v>368</v>
      </c>
      <c r="E148" s="131">
        <v>0</v>
      </c>
      <c r="F148" s="131"/>
      <c r="G148" s="131"/>
      <c r="H148" s="68">
        <f t="shared" si="32"/>
        <v>0</v>
      </c>
      <c r="I148" s="77"/>
      <c r="J148" s="131"/>
      <c r="K148" s="131"/>
      <c r="L148" s="77"/>
      <c r="M148" s="77"/>
      <c r="N148" s="77"/>
      <c r="O148" s="69">
        <f t="shared" si="31"/>
        <v>0</v>
      </c>
      <c r="P148" s="167"/>
    </row>
    <row r="149" spans="2:16" s="79" customFormat="1" ht="66" customHeight="1">
      <c r="B149" s="74"/>
      <c r="C149" s="75" t="s">
        <v>148</v>
      </c>
      <c r="D149" s="155" t="s">
        <v>369</v>
      </c>
      <c r="E149" s="131"/>
      <c r="F149" s="131"/>
      <c r="G149" s="131"/>
      <c r="H149" s="68">
        <f>I149+L149</f>
        <v>15.3</v>
      </c>
      <c r="I149" s="77"/>
      <c r="J149" s="131"/>
      <c r="K149" s="131"/>
      <c r="L149" s="77">
        <f>19-3.7</f>
        <v>15.3</v>
      </c>
      <c r="M149" s="77">
        <f>19-3.7</f>
        <v>15.3</v>
      </c>
      <c r="N149" s="77">
        <f>19-3.7</f>
        <v>15.3</v>
      </c>
      <c r="O149" s="69">
        <f>E149+H149</f>
        <v>15.3</v>
      </c>
      <c r="P149" s="167"/>
    </row>
    <row r="150" spans="2:16" s="10" customFormat="1" ht="45" customHeight="1">
      <c r="B150" s="74"/>
      <c r="C150" s="75" t="s">
        <v>148</v>
      </c>
      <c r="D150" s="155" t="s">
        <v>370</v>
      </c>
      <c r="E150" s="19">
        <f>119-18.9</f>
        <v>100.1</v>
      </c>
      <c r="F150" s="19"/>
      <c r="G150" s="19"/>
      <c r="H150" s="68">
        <f t="shared" si="32"/>
        <v>0</v>
      </c>
      <c r="I150" s="20"/>
      <c r="J150" s="19"/>
      <c r="K150" s="19"/>
      <c r="L150" s="19"/>
      <c r="M150" s="19"/>
      <c r="N150" s="19"/>
      <c r="O150" s="69">
        <f t="shared" si="31"/>
        <v>100.1</v>
      </c>
      <c r="P150" s="44"/>
    </row>
    <row r="151" spans="2:16" s="10" customFormat="1" ht="60.75" customHeight="1">
      <c r="B151" s="74"/>
      <c r="C151" s="75" t="s">
        <v>148</v>
      </c>
      <c r="D151" s="155" t="s">
        <v>371</v>
      </c>
      <c r="E151" s="19"/>
      <c r="F151" s="19"/>
      <c r="G151" s="19"/>
      <c r="H151" s="68">
        <f t="shared" si="32"/>
        <v>250</v>
      </c>
      <c r="I151" s="20"/>
      <c r="J151" s="19"/>
      <c r="K151" s="19"/>
      <c r="L151" s="20">
        <v>250</v>
      </c>
      <c r="M151" s="20">
        <v>250</v>
      </c>
      <c r="N151" s="20">
        <f>250-200</f>
        <v>50</v>
      </c>
      <c r="O151" s="69">
        <f t="shared" si="31"/>
        <v>250</v>
      </c>
      <c r="P151" s="44"/>
    </row>
    <row r="152" spans="2:16" s="149" customFormat="1" ht="51" customHeight="1">
      <c r="B152" s="147"/>
      <c r="C152" s="148"/>
      <c r="D152" s="108" t="s">
        <v>442</v>
      </c>
      <c r="E152" s="98">
        <f aca="true" t="shared" si="34" ref="E152:O152">E137+E72+E123+E118+E117+E113+E109+E108+E105+E104+E94+E85+E80+E73+E71+E138+E139</f>
        <v>39013.28573</v>
      </c>
      <c r="F152" s="98">
        <f t="shared" si="34"/>
        <v>2115.95</v>
      </c>
      <c r="G152" s="98">
        <f t="shared" si="34"/>
        <v>112.30000000000001</v>
      </c>
      <c r="H152" s="98">
        <f t="shared" si="34"/>
        <v>634.02225</v>
      </c>
      <c r="I152" s="98">
        <f t="shared" si="34"/>
        <v>71.92</v>
      </c>
      <c r="J152" s="98">
        <f t="shared" si="34"/>
        <v>0</v>
      </c>
      <c r="K152" s="98">
        <f t="shared" si="34"/>
        <v>0</v>
      </c>
      <c r="L152" s="98">
        <f t="shared" si="34"/>
        <v>562.10225</v>
      </c>
      <c r="M152" s="98">
        <f t="shared" si="34"/>
        <v>419.5834</v>
      </c>
      <c r="N152" s="98">
        <f t="shared" si="34"/>
        <v>85.26339999999999</v>
      </c>
      <c r="O152" s="98">
        <f t="shared" si="34"/>
        <v>39647.307980000005</v>
      </c>
      <c r="P152" s="150">
        <f>H152+E152</f>
        <v>39647.307980000005</v>
      </c>
    </row>
    <row r="153" spans="2:16" s="104" customFormat="1" ht="58.5" customHeight="1">
      <c r="B153" s="94" t="s">
        <v>467</v>
      </c>
      <c r="C153" s="95"/>
      <c r="D153" s="102" t="s">
        <v>474</v>
      </c>
      <c r="E153" s="96"/>
      <c r="F153" s="96"/>
      <c r="G153" s="96"/>
      <c r="H153" s="96"/>
      <c r="I153" s="96"/>
      <c r="J153" s="96"/>
      <c r="K153" s="96"/>
      <c r="L153" s="96"/>
      <c r="M153" s="96"/>
      <c r="N153" s="96"/>
      <c r="O153" s="96"/>
      <c r="P153" s="103" t="e">
        <f>O153-#REF!</f>
        <v>#REF!</v>
      </c>
    </row>
    <row r="154" spans="2:16" s="10" customFormat="1" ht="75" customHeight="1">
      <c r="B154" s="66" t="s">
        <v>468</v>
      </c>
      <c r="C154" s="7"/>
      <c r="D154" s="65" t="s">
        <v>473</v>
      </c>
      <c r="E154" s="20"/>
      <c r="F154" s="20"/>
      <c r="G154" s="20"/>
      <c r="H154" s="20"/>
      <c r="I154" s="20"/>
      <c r="J154" s="20"/>
      <c r="K154" s="20"/>
      <c r="L154" s="20"/>
      <c r="M154" s="20"/>
      <c r="N154" s="20"/>
      <c r="O154" s="20"/>
      <c r="P154" s="44"/>
    </row>
    <row r="155" spans="1:15" s="10" customFormat="1" ht="117.75" customHeight="1">
      <c r="A155" s="10">
        <v>64</v>
      </c>
      <c r="B155" s="89" t="s">
        <v>477</v>
      </c>
      <c r="C155" s="90" t="s">
        <v>43</v>
      </c>
      <c r="D155" s="72" t="s">
        <v>188</v>
      </c>
      <c r="E155" s="71">
        <f>759.2+1.9878+2+28.7-2.6</f>
        <v>789.2878000000001</v>
      </c>
      <c r="F155" s="71">
        <f>475.914-6.611+27+2.6+0.156</f>
        <v>499.059</v>
      </c>
      <c r="G155" s="71">
        <v>18.557</v>
      </c>
      <c r="H155" s="20">
        <f aca="true" t="shared" si="35" ref="H155:H228">I155+L155</f>
        <v>4.99089</v>
      </c>
      <c r="I155" s="71"/>
      <c r="J155" s="71"/>
      <c r="K155" s="71"/>
      <c r="L155" s="71">
        <v>4.99089</v>
      </c>
      <c r="M155" s="71">
        <v>4.99089</v>
      </c>
      <c r="N155" s="71"/>
      <c r="O155" s="69">
        <f>E155+H155</f>
        <v>794.2786900000001</v>
      </c>
    </row>
    <row r="156" spans="1:16" s="153" customFormat="1" ht="69.75" customHeight="1">
      <c r="A156" s="153">
        <v>65</v>
      </c>
      <c r="B156" s="122" t="s">
        <v>333</v>
      </c>
      <c r="C156" s="123" t="s">
        <v>211</v>
      </c>
      <c r="D156" s="151" t="s">
        <v>334</v>
      </c>
      <c r="E156" s="125">
        <f>108+150+8.14-1</f>
        <v>265.14</v>
      </c>
      <c r="F156" s="152"/>
      <c r="G156" s="152"/>
      <c r="H156" s="125">
        <f t="shared" si="35"/>
        <v>0</v>
      </c>
      <c r="I156" s="125"/>
      <c r="J156" s="125"/>
      <c r="K156" s="125"/>
      <c r="L156" s="125"/>
      <c r="M156" s="125"/>
      <c r="N156" s="125"/>
      <c r="O156" s="135">
        <f>E156+H156</f>
        <v>265.14</v>
      </c>
      <c r="P156" s="154">
        <f>H156+E156</f>
        <v>265.14</v>
      </c>
    </row>
    <row r="157" spans="2:17" s="153" customFormat="1" ht="39.75" customHeight="1">
      <c r="B157" s="122" t="s">
        <v>478</v>
      </c>
      <c r="C157" s="123"/>
      <c r="D157" s="127" t="s">
        <v>375</v>
      </c>
      <c r="E157" s="125">
        <f>E158</f>
        <v>0</v>
      </c>
      <c r="F157" s="125">
        <f aca="true" t="shared" si="36" ref="F157:O157">F158</f>
        <v>0</v>
      </c>
      <c r="G157" s="125">
        <f t="shared" si="36"/>
        <v>0</v>
      </c>
      <c r="H157" s="125">
        <f>H158</f>
        <v>2694.0045899999996</v>
      </c>
      <c r="I157" s="125">
        <f>I158</f>
        <v>0</v>
      </c>
      <c r="J157" s="125">
        <f t="shared" si="36"/>
        <v>0</v>
      </c>
      <c r="K157" s="125">
        <f t="shared" si="36"/>
        <v>0</v>
      </c>
      <c r="L157" s="125">
        <f>L158</f>
        <v>2694.0045899999996</v>
      </c>
      <c r="M157" s="125">
        <f t="shared" si="36"/>
        <v>2226.34887</v>
      </c>
      <c r="N157" s="125">
        <f t="shared" si="36"/>
        <v>422.65387000000004</v>
      </c>
      <c r="O157" s="125">
        <f t="shared" si="36"/>
        <v>2694.0045899999996</v>
      </c>
      <c r="P157" s="125"/>
      <c r="Q157" s="125"/>
    </row>
    <row r="158" spans="1:17" s="153" customFormat="1" ht="39.75" customHeight="1">
      <c r="A158" s="153">
        <v>66</v>
      </c>
      <c r="B158" s="74" t="s">
        <v>335</v>
      </c>
      <c r="C158" s="75" t="s">
        <v>60</v>
      </c>
      <c r="D158" s="117" t="s">
        <v>376</v>
      </c>
      <c r="E158" s="20">
        <f>SUM(E159:E161)</f>
        <v>0</v>
      </c>
      <c r="F158" s="20">
        <f>SUM(F159:F161)</f>
        <v>0</v>
      </c>
      <c r="G158" s="20">
        <f>SUM(G159:G161)</f>
        <v>0</v>
      </c>
      <c r="H158" s="20">
        <f>SUM(H159:H162)</f>
        <v>2694.0045899999996</v>
      </c>
      <c r="I158" s="20">
        <f aca="true" t="shared" si="37" ref="I158:N158">SUM(I159:I162)</f>
        <v>0</v>
      </c>
      <c r="J158" s="20">
        <f t="shared" si="37"/>
        <v>0</v>
      </c>
      <c r="K158" s="20">
        <f t="shared" si="37"/>
        <v>0</v>
      </c>
      <c r="L158" s="20">
        <f t="shared" si="37"/>
        <v>2694.0045899999996</v>
      </c>
      <c r="M158" s="20">
        <f t="shared" si="37"/>
        <v>2226.34887</v>
      </c>
      <c r="N158" s="20">
        <f t="shared" si="37"/>
        <v>422.65387000000004</v>
      </c>
      <c r="O158" s="69">
        <f aca="true" t="shared" si="38" ref="O158:O163">E158+H158</f>
        <v>2694.0045899999996</v>
      </c>
      <c r="P158" s="125"/>
      <c r="Q158" s="125"/>
    </row>
    <row r="159" spans="2:15" s="79" customFormat="1" ht="37.5" customHeight="1">
      <c r="B159" s="74"/>
      <c r="C159" s="75" t="s">
        <v>60</v>
      </c>
      <c r="D159" s="117" t="s">
        <v>377</v>
      </c>
      <c r="E159" s="77"/>
      <c r="F159" s="77"/>
      <c r="G159" s="77"/>
      <c r="H159" s="130">
        <f>I159+L159</f>
        <v>2129.34887</v>
      </c>
      <c r="I159" s="77"/>
      <c r="J159" s="77"/>
      <c r="K159" s="77"/>
      <c r="L159" s="77">
        <f>370-270+155+47.78+12.57387+7.5+300+5-100+800+19.895+250-5+100+3+283.6+150</f>
        <v>2129.34887</v>
      </c>
      <c r="M159" s="77">
        <f>370-270+155+47.78+12.57387+7.5+300+5-100+800+19.895+250-5+100+3+283.6+150</f>
        <v>2129.34887</v>
      </c>
      <c r="N159" s="77">
        <f>47.78+12.57387+218+62+2.3-17</f>
        <v>325.65387000000004</v>
      </c>
      <c r="O159" s="132">
        <f t="shared" si="38"/>
        <v>2129.34887</v>
      </c>
    </row>
    <row r="160" spans="2:15" s="33" customFormat="1" ht="121.5" customHeight="1" hidden="1">
      <c r="B160" s="66"/>
      <c r="C160" s="7" t="s">
        <v>60</v>
      </c>
      <c r="D160" s="67" t="s">
        <v>17</v>
      </c>
      <c r="E160" s="20"/>
      <c r="F160" s="20"/>
      <c r="G160" s="20"/>
      <c r="H160" s="130">
        <f>I160+L160</f>
        <v>0</v>
      </c>
      <c r="I160" s="20"/>
      <c r="J160" s="20"/>
      <c r="K160" s="20"/>
      <c r="L160" s="20"/>
      <c r="M160" s="20"/>
      <c r="N160" s="20"/>
      <c r="O160" s="69">
        <f t="shared" si="38"/>
        <v>0</v>
      </c>
    </row>
    <row r="161" spans="2:15" s="79" customFormat="1" ht="60.75" customHeight="1">
      <c r="B161" s="74"/>
      <c r="C161" s="75" t="s">
        <v>60</v>
      </c>
      <c r="D161" s="117" t="s">
        <v>378</v>
      </c>
      <c r="E161" s="77"/>
      <c r="F161" s="77"/>
      <c r="G161" s="77"/>
      <c r="H161" s="130">
        <f>I161+L161</f>
        <v>467.65572</v>
      </c>
      <c r="I161" s="168"/>
      <c r="J161" s="77"/>
      <c r="K161" s="77"/>
      <c r="L161" s="77">
        <f>415.61172+52.044</f>
        <v>467.65572</v>
      </c>
      <c r="M161" s="77"/>
      <c r="N161" s="77"/>
      <c r="O161" s="77">
        <f t="shared" si="38"/>
        <v>467.65572</v>
      </c>
    </row>
    <row r="162" spans="2:15" s="79" customFormat="1" ht="83.25" customHeight="1">
      <c r="B162" s="74"/>
      <c r="C162" s="75" t="s">
        <v>60</v>
      </c>
      <c r="D162" s="117" t="s">
        <v>309</v>
      </c>
      <c r="E162" s="77"/>
      <c r="F162" s="77"/>
      <c r="G162" s="77"/>
      <c r="H162" s="130">
        <f>I162+L162</f>
        <v>97</v>
      </c>
      <c r="I162" s="168"/>
      <c r="J162" s="77"/>
      <c r="K162" s="77"/>
      <c r="L162" s="77">
        <v>97</v>
      </c>
      <c r="M162" s="77">
        <v>97</v>
      </c>
      <c r="N162" s="77">
        <v>97</v>
      </c>
      <c r="O162" s="77">
        <f t="shared" si="38"/>
        <v>97</v>
      </c>
    </row>
    <row r="163" spans="1:16" s="126" customFormat="1" ht="81" customHeight="1">
      <c r="A163" s="126">
        <v>67</v>
      </c>
      <c r="B163" s="122" t="s">
        <v>336</v>
      </c>
      <c r="C163" s="123" t="s">
        <v>115</v>
      </c>
      <c r="D163" s="127" t="s">
        <v>250</v>
      </c>
      <c r="E163" s="125">
        <f>1000+54-54-400</f>
        <v>600</v>
      </c>
      <c r="F163" s="125"/>
      <c r="G163" s="125"/>
      <c r="H163" s="133">
        <f t="shared" si="35"/>
        <v>0</v>
      </c>
      <c r="I163" s="125"/>
      <c r="J163" s="125"/>
      <c r="K163" s="125"/>
      <c r="L163" s="125"/>
      <c r="M163" s="125"/>
      <c r="N163" s="125"/>
      <c r="O163" s="135">
        <f t="shared" si="38"/>
        <v>600</v>
      </c>
      <c r="P163" s="144">
        <f>H163+E163</f>
        <v>600</v>
      </c>
    </row>
    <row r="164" spans="2:16" s="126" customFormat="1" ht="70.5" customHeight="1">
      <c r="B164" s="122" t="s">
        <v>479</v>
      </c>
      <c r="C164" s="123"/>
      <c r="D164" s="127" t="s">
        <v>480</v>
      </c>
      <c r="E164" s="125">
        <f>SUM(E166:E169)</f>
        <v>253.28</v>
      </c>
      <c r="F164" s="125">
        <f aca="true" t="shared" si="39" ref="F164:O164">SUM(F166:F169)</f>
        <v>0</v>
      </c>
      <c r="G164" s="125">
        <f t="shared" si="39"/>
        <v>0</v>
      </c>
      <c r="H164" s="125">
        <f>SUM(H166:H169)</f>
        <v>1909.6549</v>
      </c>
      <c r="I164" s="125">
        <f t="shared" si="39"/>
        <v>0</v>
      </c>
      <c r="J164" s="125">
        <f t="shared" si="39"/>
        <v>0</v>
      </c>
      <c r="K164" s="125">
        <f t="shared" si="39"/>
        <v>0</v>
      </c>
      <c r="L164" s="125">
        <f>SUM(L166:L169)</f>
        <v>1909.6549</v>
      </c>
      <c r="M164" s="125">
        <f t="shared" si="39"/>
        <v>1485.45884</v>
      </c>
      <c r="N164" s="125">
        <f t="shared" si="39"/>
        <v>226.85884000000001</v>
      </c>
      <c r="O164" s="125">
        <f t="shared" si="39"/>
        <v>2162.9349</v>
      </c>
      <c r="P164" s="144">
        <f>H164+E164</f>
        <v>2162.9349</v>
      </c>
    </row>
    <row r="165" spans="1:16" s="126" customFormat="1" ht="53.25" customHeight="1">
      <c r="A165" s="126">
        <v>68</v>
      </c>
      <c r="B165" s="74" t="s">
        <v>337</v>
      </c>
      <c r="C165" s="75" t="s">
        <v>156</v>
      </c>
      <c r="D165" s="117" t="s">
        <v>372</v>
      </c>
      <c r="E165" s="20">
        <f>SUM(E166:E168)</f>
        <v>155.28</v>
      </c>
      <c r="F165" s="20">
        <f aca="true" t="shared" si="40" ref="F165:M165">SUM(F166:F168)</f>
        <v>0</v>
      </c>
      <c r="G165" s="20">
        <f t="shared" si="40"/>
        <v>0</v>
      </c>
      <c r="H165" s="20">
        <f>SUM(H166:H168)</f>
        <v>1039.7948999999999</v>
      </c>
      <c r="I165" s="20">
        <f t="shared" si="40"/>
        <v>0</v>
      </c>
      <c r="J165" s="20">
        <f t="shared" si="40"/>
        <v>0</v>
      </c>
      <c r="K165" s="20">
        <f t="shared" si="40"/>
        <v>0</v>
      </c>
      <c r="L165" s="20">
        <f>SUM(L166:L168)</f>
        <v>1039.7948999999999</v>
      </c>
      <c r="M165" s="20">
        <f t="shared" si="40"/>
        <v>615.59884</v>
      </c>
      <c r="N165" s="20">
        <f>SUM(N166:N169)</f>
        <v>226.85884000000001</v>
      </c>
      <c r="O165" s="132">
        <f aca="true" t="shared" si="41" ref="O165:O170">E165+H165</f>
        <v>1195.0748999999998</v>
      </c>
      <c r="P165" s="144"/>
    </row>
    <row r="166" spans="2:15" s="34" customFormat="1" ht="58.5" customHeight="1">
      <c r="B166" s="74"/>
      <c r="C166" s="75" t="s">
        <v>156</v>
      </c>
      <c r="D166" s="117" t="s">
        <v>373</v>
      </c>
      <c r="E166" s="77">
        <f>200-200+156-0.72</f>
        <v>155.28</v>
      </c>
      <c r="F166" s="77"/>
      <c r="G166" s="77"/>
      <c r="H166" s="130">
        <f t="shared" si="35"/>
        <v>420.69883999999996</v>
      </c>
      <c r="I166" s="77"/>
      <c r="J166" s="77"/>
      <c r="K166" s="77"/>
      <c r="L166" s="77">
        <f>358-30+99.99884-7.3</f>
        <v>420.69883999999996</v>
      </c>
      <c r="M166" s="77">
        <f>358-30+99.99884-7.3</f>
        <v>420.69883999999996</v>
      </c>
      <c r="N166" s="77">
        <f>99.99884</f>
        <v>99.99884</v>
      </c>
      <c r="O166" s="132">
        <f t="shared" si="41"/>
        <v>575.97884</v>
      </c>
    </row>
    <row r="167" spans="2:15" s="34" customFormat="1" ht="61.5" customHeight="1">
      <c r="B167" s="74"/>
      <c r="C167" s="75" t="s">
        <v>156</v>
      </c>
      <c r="D167" s="117" t="s">
        <v>183</v>
      </c>
      <c r="E167" s="77"/>
      <c r="F167" s="77"/>
      <c r="G167" s="77"/>
      <c r="H167" s="130">
        <f>I167+L167</f>
        <v>194.9</v>
      </c>
      <c r="I167" s="77"/>
      <c r="J167" s="77"/>
      <c r="K167" s="77"/>
      <c r="L167" s="77">
        <f>463-100-133-35.1</f>
        <v>194.9</v>
      </c>
      <c r="M167" s="77">
        <f>463-100-133-35.1</f>
        <v>194.9</v>
      </c>
      <c r="N167" s="77">
        <f>167-20-30-15-33</f>
        <v>69</v>
      </c>
      <c r="O167" s="132">
        <f t="shared" si="41"/>
        <v>194.9</v>
      </c>
    </row>
    <row r="168" spans="2:15" s="79" customFormat="1" ht="48.75" customHeight="1">
      <c r="B168" s="74"/>
      <c r="C168" s="75" t="s">
        <v>156</v>
      </c>
      <c r="D168" s="117" t="s">
        <v>374</v>
      </c>
      <c r="E168" s="77"/>
      <c r="F168" s="77"/>
      <c r="G168" s="77"/>
      <c r="H168" s="130">
        <f t="shared" si="35"/>
        <v>424.19606</v>
      </c>
      <c r="I168" s="77"/>
      <c r="J168" s="77"/>
      <c r="K168" s="77"/>
      <c r="L168" s="77">
        <v>424.19606</v>
      </c>
      <c r="M168" s="77"/>
      <c r="N168" s="77"/>
      <c r="O168" s="132">
        <f t="shared" si="41"/>
        <v>424.19606</v>
      </c>
    </row>
    <row r="169" spans="1:15" s="79" customFormat="1" ht="54" customHeight="1">
      <c r="A169" s="79">
        <v>69</v>
      </c>
      <c r="B169" s="74" t="s">
        <v>339</v>
      </c>
      <c r="C169" s="75" t="s">
        <v>113</v>
      </c>
      <c r="D169" s="155" t="s">
        <v>338</v>
      </c>
      <c r="E169" s="77">
        <v>98</v>
      </c>
      <c r="F169" s="77"/>
      <c r="G169" s="77"/>
      <c r="H169" s="130">
        <f t="shared" si="35"/>
        <v>869.86</v>
      </c>
      <c r="I169" s="77"/>
      <c r="J169" s="77"/>
      <c r="K169" s="77"/>
      <c r="L169" s="77">
        <f>800-55-8.14+133</f>
        <v>869.86</v>
      </c>
      <c r="M169" s="77">
        <f>800-55-8.14+133</f>
        <v>869.86</v>
      </c>
      <c r="N169" s="77">
        <f>200-8.14-134</f>
        <v>57.860000000000014</v>
      </c>
      <c r="O169" s="132">
        <f t="shared" si="41"/>
        <v>967.86</v>
      </c>
    </row>
    <row r="170" spans="2:15" s="10" customFormat="1" ht="3" customHeight="1" hidden="1">
      <c r="B170" s="66"/>
      <c r="C170" s="7" t="s">
        <v>113</v>
      </c>
      <c r="D170" s="87" t="s">
        <v>222</v>
      </c>
      <c r="E170" s="20"/>
      <c r="F170" s="20"/>
      <c r="G170" s="20"/>
      <c r="H170" s="68">
        <f t="shared" si="35"/>
        <v>0</v>
      </c>
      <c r="I170" s="73"/>
      <c r="J170" s="20"/>
      <c r="K170" s="20"/>
      <c r="L170" s="20"/>
      <c r="M170" s="20"/>
      <c r="N170" s="20"/>
      <c r="O170" s="20">
        <f t="shared" si="41"/>
        <v>0</v>
      </c>
    </row>
    <row r="171" spans="1:15" s="10" customFormat="1" ht="70.5" customHeight="1">
      <c r="A171" s="10">
        <v>70</v>
      </c>
      <c r="B171" s="122" t="s">
        <v>340</v>
      </c>
      <c r="C171" s="123" t="s">
        <v>61</v>
      </c>
      <c r="D171" s="124" t="s">
        <v>380</v>
      </c>
      <c r="E171" s="125">
        <f>SUM(E172:E176)</f>
        <v>5852.3</v>
      </c>
      <c r="F171" s="125">
        <f aca="true" t="shared" si="42" ref="F171:N171">SUM(F172:F176)</f>
        <v>18.5</v>
      </c>
      <c r="G171" s="125">
        <f t="shared" si="42"/>
        <v>0</v>
      </c>
      <c r="H171" s="125">
        <f>SUM(H172:H176)</f>
        <v>845.08114</v>
      </c>
      <c r="I171" s="125">
        <f t="shared" si="42"/>
        <v>326.81614</v>
      </c>
      <c r="J171" s="125">
        <f t="shared" si="42"/>
        <v>0</v>
      </c>
      <c r="K171" s="125">
        <f t="shared" si="42"/>
        <v>0</v>
      </c>
      <c r="L171" s="125">
        <f>SUM(L172:L176)</f>
        <v>518.265</v>
      </c>
      <c r="M171" s="125">
        <f>SUM(M172:M176)</f>
        <v>518.265</v>
      </c>
      <c r="N171" s="125">
        <f t="shared" si="42"/>
        <v>269.874</v>
      </c>
      <c r="O171" s="125">
        <f>H171+E171</f>
        <v>6697.38114</v>
      </c>
    </row>
    <row r="172" spans="2:16" s="79" customFormat="1" ht="66" customHeight="1">
      <c r="B172" s="74"/>
      <c r="C172" s="75" t="s">
        <v>61</v>
      </c>
      <c r="D172" s="76" t="s">
        <v>379</v>
      </c>
      <c r="E172" s="77">
        <v>0</v>
      </c>
      <c r="F172" s="131"/>
      <c r="G172" s="131"/>
      <c r="H172" s="130">
        <f t="shared" si="35"/>
        <v>0</v>
      </c>
      <c r="I172" s="131"/>
      <c r="J172" s="131"/>
      <c r="K172" s="131"/>
      <c r="L172" s="131"/>
      <c r="M172" s="131"/>
      <c r="N172" s="131"/>
      <c r="O172" s="132">
        <f aca="true" t="shared" si="43" ref="O172:O251">E172+H172</f>
        <v>0</v>
      </c>
      <c r="P172" s="167">
        <f>H172+E172</f>
        <v>0</v>
      </c>
    </row>
    <row r="173" spans="2:16" s="79" customFormat="1" ht="60" customHeight="1">
      <c r="B173" s="74"/>
      <c r="C173" s="75" t="s">
        <v>61</v>
      </c>
      <c r="D173" s="76" t="s">
        <v>382</v>
      </c>
      <c r="E173" s="77">
        <v>25</v>
      </c>
      <c r="F173" s="131">
        <v>18.5</v>
      </c>
      <c r="G173" s="131"/>
      <c r="H173" s="130">
        <f>I173+L173</f>
        <v>0</v>
      </c>
      <c r="I173" s="131"/>
      <c r="J173" s="131"/>
      <c r="K173" s="131"/>
      <c r="L173" s="131"/>
      <c r="M173" s="131"/>
      <c r="N173" s="131"/>
      <c r="O173" s="132">
        <f>E173+H173</f>
        <v>25</v>
      </c>
      <c r="P173" s="167"/>
    </row>
    <row r="174" spans="2:16" s="34" customFormat="1" ht="68.25" customHeight="1">
      <c r="B174" s="74"/>
      <c r="C174" s="75" t="s">
        <v>61</v>
      </c>
      <c r="D174" s="76" t="s">
        <v>381</v>
      </c>
      <c r="E174" s="77">
        <f>5950.6-65-6.5-50-1.8</f>
        <v>5827.3</v>
      </c>
      <c r="F174" s="131"/>
      <c r="G174" s="131"/>
      <c r="H174" s="130">
        <f t="shared" si="35"/>
        <v>270.91499999999996</v>
      </c>
      <c r="I174" s="131"/>
      <c r="J174" s="77"/>
      <c r="K174" s="77"/>
      <c r="L174" s="77">
        <f>179.4+115-19.895-10+50+30+7.65-82.3+1.06</f>
        <v>270.91499999999996</v>
      </c>
      <c r="M174" s="77">
        <f>179.4+115-19.895-10+50+30+7.65-82.3+1.06</f>
        <v>270.91499999999996</v>
      </c>
      <c r="N174" s="77">
        <f>179.4-2-10+30-19-50-82.3-35.406+50-35.69-2.48</f>
        <v>22.52400000000001</v>
      </c>
      <c r="O174" s="132">
        <f t="shared" si="43"/>
        <v>6098.215</v>
      </c>
      <c r="P174" s="167">
        <f aca="true" t="shared" si="44" ref="P174:P184">H174+E174</f>
        <v>6098.215</v>
      </c>
    </row>
    <row r="175" spans="2:16" s="34" customFormat="1" ht="77.25" customHeight="1">
      <c r="B175" s="74"/>
      <c r="C175" s="75" t="s">
        <v>61</v>
      </c>
      <c r="D175" s="76" t="s">
        <v>319</v>
      </c>
      <c r="E175" s="77"/>
      <c r="F175" s="131"/>
      <c r="G175" s="131"/>
      <c r="H175" s="130">
        <f>I175+L175</f>
        <v>247.35</v>
      </c>
      <c r="I175" s="131"/>
      <c r="J175" s="77"/>
      <c r="K175" s="77"/>
      <c r="L175" s="77">
        <v>247.35</v>
      </c>
      <c r="M175" s="77">
        <v>247.35</v>
      </c>
      <c r="N175" s="77">
        <v>247.35</v>
      </c>
      <c r="O175" s="132">
        <f>E175+H175</f>
        <v>247.35</v>
      </c>
      <c r="P175" s="167"/>
    </row>
    <row r="176" spans="2:16" s="34" customFormat="1" ht="43.5" customHeight="1">
      <c r="B176" s="74"/>
      <c r="C176" s="75" t="s">
        <v>61</v>
      </c>
      <c r="D176" s="76" t="s">
        <v>383</v>
      </c>
      <c r="E176" s="77"/>
      <c r="F176" s="131"/>
      <c r="G176" s="131"/>
      <c r="H176" s="130">
        <f t="shared" si="35"/>
        <v>326.81614</v>
      </c>
      <c r="I176" s="131">
        <f>129.00614+197.81</f>
        <v>326.81614</v>
      </c>
      <c r="J176" s="77"/>
      <c r="K176" s="77"/>
      <c r="L176" s="77"/>
      <c r="M176" s="77"/>
      <c r="N176" s="77"/>
      <c r="O176" s="132">
        <f t="shared" si="43"/>
        <v>326.81614</v>
      </c>
      <c r="P176" s="167"/>
    </row>
    <row r="177" spans="1:16" s="126" customFormat="1" ht="96.75" customHeight="1">
      <c r="A177" s="126">
        <v>71</v>
      </c>
      <c r="B177" s="122" t="s">
        <v>195</v>
      </c>
      <c r="C177" s="123" t="s">
        <v>158</v>
      </c>
      <c r="D177" s="124" t="s">
        <v>124</v>
      </c>
      <c r="E177" s="125"/>
      <c r="F177" s="125"/>
      <c r="G177" s="125"/>
      <c r="H177" s="133">
        <f t="shared" si="35"/>
        <v>50.56254</v>
      </c>
      <c r="I177" s="128"/>
      <c r="J177" s="125"/>
      <c r="K177" s="125"/>
      <c r="L177" s="125">
        <v>50.56254</v>
      </c>
      <c r="M177" s="125">
        <v>50.56254</v>
      </c>
      <c r="N177" s="125"/>
      <c r="O177" s="125">
        <f t="shared" si="43"/>
        <v>50.56254</v>
      </c>
      <c r="P177" s="144">
        <f t="shared" si="44"/>
        <v>50.56254</v>
      </c>
    </row>
    <row r="178" spans="2:16" s="10" customFormat="1" ht="185.25" customHeight="1" hidden="1" thickBot="1">
      <c r="B178" s="66"/>
      <c r="C178" s="7" t="s">
        <v>126</v>
      </c>
      <c r="D178" s="87" t="s">
        <v>127</v>
      </c>
      <c r="E178" s="19"/>
      <c r="F178" s="19"/>
      <c r="G178" s="19"/>
      <c r="H178" s="68">
        <f t="shared" si="35"/>
        <v>0</v>
      </c>
      <c r="I178" s="19"/>
      <c r="J178" s="19"/>
      <c r="K178" s="19"/>
      <c r="L178" s="19"/>
      <c r="M178" s="19"/>
      <c r="N178" s="19"/>
      <c r="O178" s="69">
        <f t="shared" si="43"/>
        <v>0</v>
      </c>
      <c r="P178" s="144">
        <f t="shared" si="44"/>
        <v>0</v>
      </c>
    </row>
    <row r="179" spans="2:16" s="10" customFormat="1" ht="61.5" customHeight="1">
      <c r="B179" s="122" t="s">
        <v>341</v>
      </c>
      <c r="C179" s="123" t="s">
        <v>64</v>
      </c>
      <c r="D179" s="124" t="s">
        <v>193</v>
      </c>
      <c r="E179" s="125"/>
      <c r="F179" s="125"/>
      <c r="G179" s="125"/>
      <c r="H179" s="125">
        <f>SUM(H180:H182)</f>
        <v>5110.57986</v>
      </c>
      <c r="I179" s="125">
        <f aca="true" t="shared" si="45" ref="I179:N179">SUM(I180:I182)</f>
        <v>0</v>
      </c>
      <c r="J179" s="125">
        <f t="shared" si="45"/>
        <v>0</v>
      </c>
      <c r="K179" s="125">
        <f t="shared" si="45"/>
        <v>0</v>
      </c>
      <c r="L179" s="125">
        <f>SUM(L180:L182)</f>
        <v>5110.57986</v>
      </c>
      <c r="M179" s="125">
        <f>SUM(M180:M182)</f>
        <v>1110.2798599999996</v>
      </c>
      <c r="N179" s="125">
        <f t="shared" si="45"/>
        <v>64</v>
      </c>
      <c r="O179" s="125">
        <f>SUM(O180:O182)</f>
        <v>5110.57986</v>
      </c>
      <c r="P179" s="144"/>
    </row>
    <row r="180" spans="1:16" s="79" customFormat="1" ht="43.5" customHeight="1">
      <c r="A180" s="79">
        <v>72</v>
      </c>
      <c r="B180" s="74"/>
      <c r="C180" s="75" t="s">
        <v>64</v>
      </c>
      <c r="D180" s="76" t="s">
        <v>194</v>
      </c>
      <c r="E180" s="77"/>
      <c r="F180" s="77"/>
      <c r="G180" s="77"/>
      <c r="H180" s="77">
        <f t="shared" si="35"/>
        <v>1046.2798599999996</v>
      </c>
      <c r="I180" s="77"/>
      <c r="J180" s="77"/>
      <c r="K180" s="77"/>
      <c r="L180" s="77">
        <f>1105.5+273.53271+38.09153+9.71442+66.2+4.56127+2.40593-14.81+5.31-222.626-15-8-12-7.65+287.18-287.18-3-1.5-0.5-173.5-0.45</f>
        <v>1046.2798599999996</v>
      </c>
      <c r="M180" s="77">
        <f>1105.5+273.53271+38.09153+9.71442+66.2+4.56127+2.40593-14.81+5.31-222.626-15-8-12-7.65+287.18-287.18-3-1.5-0.5-173.5-0.45</f>
        <v>1046.2798599999996</v>
      </c>
      <c r="N180" s="77">
        <f>400+20-220-2.626-8-189.374</f>
        <v>0</v>
      </c>
      <c r="O180" s="77">
        <f t="shared" si="43"/>
        <v>1046.2798599999996</v>
      </c>
      <c r="P180" s="167">
        <f t="shared" si="44"/>
        <v>1046.2798599999996</v>
      </c>
    </row>
    <row r="181" spans="2:16" s="79" customFormat="1" ht="69.75" customHeight="1">
      <c r="B181" s="74"/>
      <c r="C181" s="75" t="s">
        <v>64</v>
      </c>
      <c r="D181" s="76" t="s">
        <v>320</v>
      </c>
      <c r="E181" s="77"/>
      <c r="F181" s="77"/>
      <c r="G181" s="77"/>
      <c r="H181" s="77">
        <f>I181+L181</f>
        <v>64</v>
      </c>
      <c r="I181" s="77"/>
      <c r="J181" s="77"/>
      <c r="K181" s="77"/>
      <c r="L181" s="77">
        <v>64</v>
      </c>
      <c r="M181" s="77">
        <v>64</v>
      </c>
      <c r="N181" s="77">
        <v>64</v>
      </c>
      <c r="O181" s="77">
        <f>E181+H181</f>
        <v>64</v>
      </c>
      <c r="P181" s="167"/>
    </row>
    <row r="182" spans="2:16" s="79" customFormat="1" ht="43.5" customHeight="1">
      <c r="B182" s="74"/>
      <c r="C182" s="75" t="s">
        <v>64</v>
      </c>
      <c r="D182" s="76" t="s">
        <v>184</v>
      </c>
      <c r="E182" s="77"/>
      <c r="F182" s="77"/>
      <c r="G182" s="77"/>
      <c r="H182" s="77">
        <f>I182+L182</f>
        <v>4000.3</v>
      </c>
      <c r="I182" s="77"/>
      <c r="J182" s="77"/>
      <c r="K182" s="77"/>
      <c r="L182" s="77">
        <v>4000.3</v>
      </c>
      <c r="M182" s="77"/>
      <c r="N182" s="77"/>
      <c r="O182" s="77">
        <f>E182+H182</f>
        <v>4000.3</v>
      </c>
      <c r="P182" s="167"/>
    </row>
    <row r="183" spans="1:16" s="126" customFormat="1" ht="68.25" customHeight="1">
      <c r="A183" s="126">
        <v>73</v>
      </c>
      <c r="B183" s="122" t="s">
        <v>342</v>
      </c>
      <c r="C183" s="123" t="s">
        <v>172</v>
      </c>
      <c r="D183" s="156" t="s">
        <v>173</v>
      </c>
      <c r="E183" s="134"/>
      <c r="F183" s="134"/>
      <c r="G183" s="134"/>
      <c r="H183" s="133">
        <f t="shared" si="35"/>
        <v>0</v>
      </c>
      <c r="I183" s="134"/>
      <c r="J183" s="134"/>
      <c r="K183" s="134"/>
      <c r="L183" s="125">
        <f>2.626-2-0.626</f>
        <v>0</v>
      </c>
      <c r="M183" s="125">
        <f>2.626-2-0.626</f>
        <v>0</v>
      </c>
      <c r="N183" s="125">
        <f>0.626-0.626</f>
        <v>0</v>
      </c>
      <c r="O183" s="135">
        <f t="shared" si="43"/>
        <v>0</v>
      </c>
      <c r="P183" s="144">
        <f t="shared" si="44"/>
        <v>0</v>
      </c>
    </row>
    <row r="184" spans="1:16" s="126" customFormat="1" ht="58.5" customHeight="1">
      <c r="A184" s="126">
        <v>74</v>
      </c>
      <c r="B184" s="122" t="s">
        <v>343</v>
      </c>
      <c r="C184" s="123" t="s">
        <v>62</v>
      </c>
      <c r="D184" s="124" t="s">
        <v>385</v>
      </c>
      <c r="E184" s="125">
        <f>SUM(E185:E188)</f>
        <v>0</v>
      </c>
      <c r="F184" s="125">
        <f aca="true" t="shared" si="46" ref="F184:N184">SUM(F185:F188)</f>
        <v>0</v>
      </c>
      <c r="G184" s="125">
        <f t="shared" si="46"/>
        <v>0</v>
      </c>
      <c r="H184" s="125">
        <f>I184+L184</f>
        <v>2607.8356999999996</v>
      </c>
      <c r="I184" s="125">
        <f>SUM(I185:I188)</f>
        <v>842.6702500000001</v>
      </c>
      <c r="J184" s="125">
        <f t="shared" si="46"/>
        <v>0</v>
      </c>
      <c r="K184" s="125">
        <f t="shared" si="46"/>
        <v>0</v>
      </c>
      <c r="L184" s="125">
        <f>SUM(L185:L188)</f>
        <v>1765.1654499999997</v>
      </c>
      <c r="M184" s="125">
        <f t="shared" si="46"/>
        <v>0</v>
      </c>
      <c r="N184" s="125">
        <f t="shared" si="46"/>
        <v>0</v>
      </c>
      <c r="O184" s="125">
        <f t="shared" si="43"/>
        <v>2607.8356999999996</v>
      </c>
      <c r="P184" s="144">
        <f t="shared" si="44"/>
        <v>2607.8356999999996</v>
      </c>
    </row>
    <row r="185" spans="2:15" s="79" customFormat="1" ht="69" customHeight="1">
      <c r="B185" s="74"/>
      <c r="C185" s="75" t="s">
        <v>62</v>
      </c>
      <c r="D185" s="76" t="s">
        <v>384</v>
      </c>
      <c r="E185" s="77"/>
      <c r="F185" s="77"/>
      <c r="G185" s="77"/>
      <c r="H185" s="77">
        <f t="shared" si="35"/>
        <v>237.95369999999997</v>
      </c>
      <c r="I185" s="77">
        <f>63+114.2</f>
        <v>177.2</v>
      </c>
      <c r="J185" s="77"/>
      <c r="K185" s="77"/>
      <c r="L185" s="77">
        <f>28.0037+3+29.75</f>
        <v>60.753699999999995</v>
      </c>
      <c r="M185" s="77"/>
      <c r="N185" s="77"/>
      <c r="O185" s="77">
        <f t="shared" si="43"/>
        <v>237.95369999999997</v>
      </c>
    </row>
    <row r="186" spans="2:15" s="79" customFormat="1" ht="101.25" customHeight="1">
      <c r="B186" s="74"/>
      <c r="C186" s="75" t="s">
        <v>62</v>
      </c>
      <c r="D186" s="76" t="s">
        <v>386</v>
      </c>
      <c r="E186" s="77"/>
      <c r="F186" s="77"/>
      <c r="G186" s="77"/>
      <c r="H186" s="77">
        <f t="shared" si="35"/>
        <v>1676.4279999999999</v>
      </c>
      <c r="I186" s="77">
        <f>397.824+58.03225-0.024+1.363</f>
        <v>457.19525</v>
      </c>
      <c r="J186" s="77"/>
      <c r="K186" s="77"/>
      <c r="L186" s="77">
        <f>845.376+285.39875+0.024+88.434</f>
        <v>1219.23275</v>
      </c>
      <c r="M186" s="77"/>
      <c r="N186" s="77"/>
      <c r="O186" s="77">
        <f t="shared" si="43"/>
        <v>1676.4279999999999</v>
      </c>
    </row>
    <row r="187" spans="2:15" s="79" customFormat="1" ht="136.5" customHeight="1">
      <c r="B187" s="74"/>
      <c r="C187" s="75" t="s">
        <v>62</v>
      </c>
      <c r="D187" s="76" t="s">
        <v>387</v>
      </c>
      <c r="E187" s="77"/>
      <c r="F187" s="77"/>
      <c r="G187" s="77"/>
      <c r="H187" s="77">
        <f>I187+L187</f>
        <v>147.454</v>
      </c>
      <c r="I187" s="77">
        <f>33.575</f>
        <v>33.575</v>
      </c>
      <c r="J187" s="77"/>
      <c r="K187" s="77"/>
      <c r="L187" s="77">
        <f>113.879</f>
        <v>113.879</v>
      </c>
      <c r="M187" s="77"/>
      <c r="N187" s="77"/>
      <c r="O187" s="77">
        <f>E187+H187</f>
        <v>147.454</v>
      </c>
    </row>
    <row r="188" spans="2:15" s="79" customFormat="1" ht="117.75" customHeight="1">
      <c r="B188" s="74"/>
      <c r="C188" s="75" t="s">
        <v>62</v>
      </c>
      <c r="D188" s="76" t="s">
        <v>388</v>
      </c>
      <c r="E188" s="77"/>
      <c r="F188" s="77"/>
      <c r="G188" s="77"/>
      <c r="H188" s="77">
        <f t="shared" si="35"/>
        <v>546</v>
      </c>
      <c r="I188" s="77">
        <v>174.7</v>
      </c>
      <c r="J188" s="77"/>
      <c r="K188" s="77"/>
      <c r="L188" s="77">
        <v>371.3</v>
      </c>
      <c r="M188" s="77"/>
      <c r="N188" s="77"/>
      <c r="O188" s="77">
        <f t="shared" si="43"/>
        <v>546</v>
      </c>
    </row>
    <row r="189" spans="1:16" s="126" customFormat="1" ht="75" customHeight="1">
      <c r="A189" s="126">
        <v>75</v>
      </c>
      <c r="B189" s="122" t="s">
        <v>344</v>
      </c>
      <c r="C189" s="123" t="s">
        <v>92</v>
      </c>
      <c r="D189" s="143" t="s">
        <v>389</v>
      </c>
      <c r="E189" s="174">
        <f>SUM(E190:E201)</f>
        <v>424.42</v>
      </c>
      <c r="F189" s="125">
        <f>SUM(F190:F199)</f>
        <v>0</v>
      </c>
      <c r="G189" s="125">
        <f>SUM(G190:G199)</f>
        <v>0</v>
      </c>
      <c r="H189" s="125">
        <f>I189+L189</f>
        <v>569.23947</v>
      </c>
      <c r="I189" s="125">
        <f aca="true" t="shared" si="47" ref="I189:N189">SUM(I190:I201)</f>
        <v>0</v>
      </c>
      <c r="J189" s="125">
        <f t="shared" si="47"/>
        <v>0</v>
      </c>
      <c r="K189" s="125">
        <f t="shared" si="47"/>
        <v>0</v>
      </c>
      <c r="L189" s="125">
        <f t="shared" si="47"/>
        <v>569.23947</v>
      </c>
      <c r="M189" s="125">
        <f t="shared" si="47"/>
        <v>569.23947</v>
      </c>
      <c r="N189" s="125">
        <f t="shared" si="47"/>
        <v>432.73947</v>
      </c>
      <c r="O189" s="125">
        <f>E189+H189</f>
        <v>993.65947</v>
      </c>
      <c r="P189" s="144">
        <f>H189+E189</f>
        <v>993.65947</v>
      </c>
    </row>
    <row r="190" spans="2:15" s="10" customFormat="1" ht="29.25" customHeight="1" hidden="1">
      <c r="B190" s="74" t="s">
        <v>344</v>
      </c>
      <c r="C190" s="75" t="s">
        <v>92</v>
      </c>
      <c r="D190" s="157" t="s">
        <v>7</v>
      </c>
      <c r="E190" s="20"/>
      <c r="F190" s="20"/>
      <c r="G190" s="20"/>
      <c r="H190" s="20">
        <f t="shared" si="35"/>
        <v>0</v>
      </c>
      <c r="I190" s="73"/>
      <c r="J190" s="20"/>
      <c r="K190" s="20"/>
      <c r="L190" s="20"/>
      <c r="M190" s="20"/>
      <c r="N190" s="20"/>
      <c r="O190" s="20">
        <f t="shared" si="43"/>
        <v>0</v>
      </c>
    </row>
    <row r="191" spans="2:15" s="10" customFormat="1" ht="36.75" customHeight="1" hidden="1">
      <c r="B191" s="74" t="s">
        <v>344</v>
      </c>
      <c r="C191" s="75" t="s">
        <v>92</v>
      </c>
      <c r="D191" s="157" t="s">
        <v>7</v>
      </c>
      <c r="E191" s="20"/>
      <c r="F191" s="20"/>
      <c r="G191" s="20"/>
      <c r="H191" s="20">
        <f t="shared" si="35"/>
        <v>0</v>
      </c>
      <c r="I191" s="73"/>
      <c r="J191" s="20"/>
      <c r="K191" s="20"/>
      <c r="L191" s="20"/>
      <c r="M191" s="20"/>
      <c r="N191" s="20"/>
      <c r="O191" s="20">
        <f t="shared" si="43"/>
        <v>0</v>
      </c>
    </row>
    <row r="192" spans="2:15" s="10" customFormat="1" ht="171" customHeight="1" hidden="1">
      <c r="B192" s="74" t="s">
        <v>344</v>
      </c>
      <c r="C192" s="75" t="s">
        <v>92</v>
      </c>
      <c r="D192" s="157" t="s">
        <v>7</v>
      </c>
      <c r="E192" s="20"/>
      <c r="F192" s="20"/>
      <c r="G192" s="20"/>
      <c r="H192" s="20">
        <f t="shared" si="35"/>
        <v>0</v>
      </c>
      <c r="I192" s="73"/>
      <c r="J192" s="20"/>
      <c r="K192" s="20"/>
      <c r="L192" s="20"/>
      <c r="M192" s="20"/>
      <c r="N192" s="20"/>
      <c r="O192" s="20">
        <f t="shared" si="43"/>
        <v>0</v>
      </c>
    </row>
    <row r="193" spans="2:15" s="10" customFormat="1" ht="116.25" customHeight="1" hidden="1">
      <c r="B193" s="74" t="s">
        <v>344</v>
      </c>
      <c r="C193" s="75" t="s">
        <v>92</v>
      </c>
      <c r="D193" s="157" t="s">
        <v>7</v>
      </c>
      <c r="E193" s="20"/>
      <c r="F193" s="20"/>
      <c r="G193" s="20"/>
      <c r="H193" s="20">
        <f t="shared" si="35"/>
        <v>0</v>
      </c>
      <c r="I193" s="73"/>
      <c r="J193" s="20"/>
      <c r="K193" s="20"/>
      <c r="L193" s="19"/>
      <c r="M193" s="19"/>
      <c r="N193" s="19"/>
      <c r="O193" s="20">
        <f t="shared" si="43"/>
        <v>0</v>
      </c>
    </row>
    <row r="194" spans="2:15" s="10" customFormat="1" ht="96.75" customHeight="1" hidden="1">
      <c r="B194" s="74" t="s">
        <v>344</v>
      </c>
      <c r="C194" s="75" t="s">
        <v>92</v>
      </c>
      <c r="D194" s="157" t="s">
        <v>7</v>
      </c>
      <c r="E194" s="20"/>
      <c r="F194" s="20"/>
      <c r="G194" s="20"/>
      <c r="H194" s="20">
        <f t="shared" si="35"/>
        <v>0</v>
      </c>
      <c r="I194" s="73"/>
      <c r="J194" s="20"/>
      <c r="K194" s="20"/>
      <c r="L194" s="20"/>
      <c r="M194" s="20"/>
      <c r="N194" s="20"/>
      <c r="O194" s="20">
        <f t="shared" si="43"/>
        <v>0</v>
      </c>
    </row>
    <row r="195" spans="2:15" s="10" customFormat="1" ht="96.75" customHeight="1" hidden="1">
      <c r="B195" s="74" t="s">
        <v>344</v>
      </c>
      <c r="C195" s="75" t="s">
        <v>92</v>
      </c>
      <c r="D195" s="157" t="s">
        <v>7</v>
      </c>
      <c r="E195" s="20"/>
      <c r="F195" s="20"/>
      <c r="G195" s="20"/>
      <c r="H195" s="20">
        <f t="shared" si="35"/>
        <v>0</v>
      </c>
      <c r="I195" s="73"/>
      <c r="J195" s="20"/>
      <c r="K195" s="20"/>
      <c r="L195" s="20"/>
      <c r="M195" s="20"/>
      <c r="N195" s="20"/>
      <c r="O195" s="20">
        <f t="shared" si="43"/>
        <v>0</v>
      </c>
    </row>
    <row r="196" spans="2:15" s="10" customFormat="1" ht="111" customHeight="1" hidden="1">
      <c r="B196" s="74" t="s">
        <v>344</v>
      </c>
      <c r="C196" s="75" t="s">
        <v>92</v>
      </c>
      <c r="D196" s="157" t="s">
        <v>7</v>
      </c>
      <c r="E196" s="20"/>
      <c r="F196" s="20"/>
      <c r="G196" s="20"/>
      <c r="H196" s="20">
        <f t="shared" si="35"/>
        <v>0</v>
      </c>
      <c r="I196" s="73"/>
      <c r="J196" s="20"/>
      <c r="K196" s="20"/>
      <c r="L196" s="20"/>
      <c r="M196" s="20"/>
      <c r="N196" s="20"/>
      <c r="O196" s="20">
        <f t="shared" si="43"/>
        <v>0</v>
      </c>
    </row>
    <row r="197" spans="2:15" s="10" customFormat="1" ht="165" customHeight="1" hidden="1">
      <c r="B197" s="74" t="s">
        <v>344</v>
      </c>
      <c r="C197" s="75" t="s">
        <v>92</v>
      </c>
      <c r="D197" s="157" t="s">
        <v>7</v>
      </c>
      <c r="E197" s="20"/>
      <c r="F197" s="20"/>
      <c r="G197" s="20"/>
      <c r="H197" s="20">
        <f t="shared" si="35"/>
        <v>0</v>
      </c>
      <c r="I197" s="73"/>
      <c r="J197" s="20"/>
      <c r="K197" s="20"/>
      <c r="L197" s="20"/>
      <c r="M197" s="20"/>
      <c r="N197" s="20"/>
      <c r="O197" s="20">
        <f t="shared" si="43"/>
        <v>0</v>
      </c>
    </row>
    <row r="198" spans="2:15" s="33" customFormat="1" ht="150.75" customHeight="1" hidden="1">
      <c r="B198" s="74" t="s">
        <v>344</v>
      </c>
      <c r="C198" s="75" t="s">
        <v>92</v>
      </c>
      <c r="D198" s="157" t="s">
        <v>7</v>
      </c>
      <c r="E198" s="19"/>
      <c r="F198" s="19"/>
      <c r="G198" s="19"/>
      <c r="H198" s="68">
        <f t="shared" si="35"/>
        <v>0</v>
      </c>
      <c r="I198" s="19"/>
      <c r="J198" s="19"/>
      <c r="K198" s="19"/>
      <c r="L198" s="20"/>
      <c r="M198" s="20"/>
      <c r="N198" s="19"/>
      <c r="O198" s="69">
        <f t="shared" si="43"/>
        <v>0</v>
      </c>
    </row>
    <row r="199" spans="2:15" s="79" customFormat="1" ht="77.25" customHeight="1">
      <c r="B199" s="74"/>
      <c r="C199" s="75" t="s">
        <v>92</v>
      </c>
      <c r="D199" s="157" t="s">
        <v>391</v>
      </c>
      <c r="E199" s="77">
        <f>150+88+50+118-0.38</f>
        <v>405.62</v>
      </c>
      <c r="F199" s="77"/>
      <c r="G199" s="77"/>
      <c r="H199" s="77">
        <f t="shared" si="35"/>
        <v>199.07</v>
      </c>
      <c r="I199" s="78"/>
      <c r="J199" s="77"/>
      <c r="K199" s="77"/>
      <c r="L199" s="77">
        <f>118+129.47-58+44-30-4.4</f>
        <v>199.07</v>
      </c>
      <c r="M199" s="77">
        <f>118+129.47-58+44-30-4.4</f>
        <v>199.07</v>
      </c>
      <c r="N199" s="77">
        <f>118+129.47-58-30-4.4</f>
        <v>155.07</v>
      </c>
      <c r="O199" s="77">
        <f t="shared" si="43"/>
        <v>604.69</v>
      </c>
    </row>
    <row r="200" spans="2:15" s="79" customFormat="1" ht="112.5" customHeight="1">
      <c r="B200" s="74"/>
      <c r="C200" s="75" t="s">
        <v>92</v>
      </c>
      <c r="D200" s="157" t="s">
        <v>390</v>
      </c>
      <c r="E200" s="77">
        <f>20-1-0.2</f>
        <v>18.8</v>
      </c>
      <c r="F200" s="77"/>
      <c r="G200" s="77"/>
      <c r="H200" s="77">
        <f>I200+L200</f>
        <v>0</v>
      </c>
      <c r="I200" s="78"/>
      <c r="J200" s="77"/>
      <c r="K200" s="77"/>
      <c r="L200" s="77"/>
      <c r="M200" s="77"/>
      <c r="N200" s="77"/>
      <c r="O200" s="77">
        <f>E200+H200</f>
        <v>18.8</v>
      </c>
    </row>
    <row r="201" spans="2:15" s="79" customFormat="1" ht="84.75" customHeight="1">
      <c r="B201" s="74"/>
      <c r="C201" s="75" t="s">
        <v>92</v>
      </c>
      <c r="D201" s="157" t="s">
        <v>392</v>
      </c>
      <c r="E201" s="77"/>
      <c r="F201" s="77"/>
      <c r="G201" s="77"/>
      <c r="H201" s="77">
        <f t="shared" si="35"/>
        <v>370.16947</v>
      </c>
      <c r="I201" s="77"/>
      <c r="J201" s="77"/>
      <c r="K201" s="77"/>
      <c r="L201" s="77">
        <f>277.66947+43+88-88+53-3.5</f>
        <v>370.16947</v>
      </c>
      <c r="M201" s="77">
        <f>277.66947+43+88-88+53-3.5</f>
        <v>370.16947</v>
      </c>
      <c r="N201" s="77">
        <f>277.66947+88-88</f>
        <v>277.66947</v>
      </c>
      <c r="O201" s="77">
        <f t="shared" si="43"/>
        <v>370.16947</v>
      </c>
    </row>
    <row r="202" spans="2:15" s="10" customFormat="1" ht="38.25" customHeight="1" hidden="1">
      <c r="B202" s="66"/>
      <c r="C202" s="7" t="s">
        <v>102</v>
      </c>
      <c r="D202" s="93" t="s">
        <v>210</v>
      </c>
      <c r="E202" s="20"/>
      <c r="F202" s="20"/>
      <c r="G202" s="20"/>
      <c r="H202" s="20">
        <f t="shared" si="35"/>
        <v>0</v>
      </c>
      <c r="I202" s="73"/>
      <c r="J202" s="20"/>
      <c r="K202" s="20"/>
      <c r="L202" s="20"/>
      <c r="M202" s="20"/>
      <c r="N202" s="20"/>
      <c r="O202" s="20">
        <f t="shared" si="43"/>
        <v>0</v>
      </c>
    </row>
    <row r="203" spans="2:15" s="10" customFormat="1" ht="36.75" customHeight="1" hidden="1">
      <c r="B203" s="66"/>
      <c r="C203" s="7" t="s">
        <v>219</v>
      </c>
      <c r="D203" s="67" t="s">
        <v>22</v>
      </c>
      <c r="E203" s="20">
        <f>SUM(E204:E204)</f>
        <v>0</v>
      </c>
      <c r="F203" s="20">
        <f>SUM(F204:F204)</f>
        <v>0</v>
      </c>
      <c r="G203" s="20">
        <f>SUM(G204:G204)</f>
        <v>0</v>
      </c>
      <c r="H203" s="20">
        <f>I203+L203</f>
        <v>254.98187000000001</v>
      </c>
      <c r="I203" s="20">
        <f aca="true" t="shared" si="48" ref="I203:N203">SUM(I204:I204)</f>
        <v>145.03187</v>
      </c>
      <c r="J203" s="20">
        <f t="shared" si="48"/>
        <v>0</v>
      </c>
      <c r="K203" s="20">
        <f t="shared" si="48"/>
        <v>0</v>
      </c>
      <c r="L203" s="20">
        <f t="shared" si="48"/>
        <v>109.95</v>
      </c>
      <c r="M203" s="20">
        <f t="shared" si="48"/>
        <v>0</v>
      </c>
      <c r="N203" s="20">
        <f t="shared" si="48"/>
        <v>0</v>
      </c>
      <c r="O203" s="20">
        <f t="shared" si="43"/>
        <v>254.98187000000001</v>
      </c>
    </row>
    <row r="204" spans="1:16" s="126" customFormat="1" ht="86.25" customHeight="1">
      <c r="A204" s="126">
        <v>76</v>
      </c>
      <c r="B204" s="122" t="s">
        <v>404</v>
      </c>
      <c r="C204" s="123" t="s">
        <v>106</v>
      </c>
      <c r="D204" s="127" t="s">
        <v>96</v>
      </c>
      <c r="E204" s="125"/>
      <c r="F204" s="125"/>
      <c r="G204" s="125"/>
      <c r="H204" s="125">
        <f t="shared" si="35"/>
        <v>254.98187000000001</v>
      </c>
      <c r="I204" s="125">
        <f>171.6+20.03187-46.6</f>
        <v>145.03187</v>
      </c>
      <c r="J204" s="125"/>
      <c r="K204" s="125"/>
      <c r="L204" s="125">
        <f>28.4+46.6+34.95</f>
        <v>109.95</v>
      </c>
      <c r="M204" s="125"/>
      <c r="N204" s="125"/>
      <c r="O204" s="125">
        <f t="shared" si="43"/>
        <v>254.98187000000001</v>
      </c>
      <c r="P204" s="144">
        <f>H204+E204</f>
        <v>254.98187000000001</v>
      </c>
    </row>
    <row r="205" spans="1:16" s="126" customFormat="1" ht="99" customHeight="1">
      <c r="A205" s="126">
        <v>77</v>
      </c>
      <c r="B205" s="122" t="s">
        <v>14</v>
      </c>
      <c r="C205" s="123" t="s">
        <v>160</v>
      </c>
      <c r="D205" s="127" t="s">
        <v>15</v>
      </c>
      <c r="E205" s="125"/>
      <c r="F205" s="125"/>
      <c r="G205" s="125"/>
      <c r="H205" s="125">
        <f t="shared" si="35"/>
        <v>130.05701</v>
      </c>
      <c r="I205" s="125"/>
      <c r="J205" s="125"/>
      <c r="K205" s="125"/>
      <c r="L205" s="125">
        <v>130.05701</v>
      </c>
      <c r="M205" s="125"/>
      <c r="N205" s="125"/>
      <c r="O205" s="125">
        <f t="shared" si="43"/>
        <v>130.05701</v>
      </c>
      <c r="P205" s="144"/>
    </row>
    <row r="206" spans="2:17" s="149" customFormat="1" ht="51.75" customHeight="1">
      <c r="B206" s="147"/>
      <c r="C206" s="148"/>
      <c r="D206" s="159" t="s">
        <v>442</v>
      </c>
      <c r="E206" s="98">
        <f>E155+E156+E157+E163+E164+E171+E177+E179+E183+E184+E189+E204+E205</f>
        <v>8184.4278</v>
      </c>
      <c r="F206" s="98">
        <f>F155+F156+F157+F163+F164+F171+F177+F179+F183+F184+F189</f>
        <v>517.559</v>
      </c>
      <c r="G206" s="98">
        <f>G155+G156+G157+G163+G164+G171+G177+G179+G183+G184+G189</f>
        <v>18.557</v>
      </c>
      <c r="H206" s="98">
        <f aca="true" t="shared" si="49" ref="H206:M206">H155+H156+H157+H163+H164+H183+H179+H184+H189+H204+H205+H177+H171</f>
        <v>14176.98797</v>
      </c>
      <c r="I206" s="98">
        <f t="shared" si="49"/>
        <v>1314.5182600000003</v>
      </c>
      <c r="J206" s="98">
        <f t="shared" si="49"/>
        <v>0</v>
      </c>
      <c r="K206" s="98">
        <f t="shared" si="49"/>
        <v>0</v>
      </c>
      <c r="L206" s="98">
        <f>L155+L156+L157+L163+L164+L183+L179+L184+L189+L204+L205+L177+L171</f>
        <v>12862.469710000001</v>
      </c>
      <c r="M206" s="98">
        <f t="shared" si="49"/>
        <v>5965.1454699999995</v>
      </c>
      <c r="N206" s="98">
        <f>N155+N156+N157+N163+N164+N183+N179+N184+N189+N204+N205+N177+N171</f>
        <v>1416.12618</v>
      </c>
      <c r="O206" s="98">
        <f>H206+E206</f>
        <v>22361.41577</v>
      </c>
      <c r="P206" s="99">
        <f>H206+E206</f>
        <v>22361.41577</v>
      </c>
      <c r="Q206" s="150">
        <f>O206-P206</f>
        <v>0</v>
      </c>
    </row>
    <row r="207" spans="2:16" s="163" customFormat="1" ht="48.75" customHeight="1">
      <c r="B207" s="101" t="s">
        <v>482</v>
      </c>
      <c r="C207" s="105"/>
      <c r="D207" s="160" t="s">
        <v>486</v>
      </c>
      <c r="E207" s="161"/>
      <c r="F207" s="161"/>
      <c r="G207" s="161"/>
      <c r="H207" s="161"/>
      <c r="I207" s="161"/>
      <c r="J207" s="161"/>
      <c r="K207" s="161"/>
      <c r="L207" s="161"/>
      <c r="M207" s="161"/>
      <c r="N207" s="161"/>
      <c r="O207" s="161"/>
      <c r="P207" s="162" t="e">
        <f>O207-#REF!</f>
        <v>#REF!</v>
      </c>
    </row>
    <row r="208" spans="2:16" s="10" customFormat="1" ht="45.75" customHeight="1">
      <c r="B208" s="66" t="s">
        <v>483</v>
      </c>
      <c r="C208" s="7"/>
      <c r="D208" s="87" t="s">
        <v>487</v>
      </c>
      <c r="E208" s="20"/>
      <c r="F208" s="20"/>
      <c r="G208" s="20"/>
      <c r="H208" s="20"/>
      <c r="I208" s="20"/>
      <c r="J208" s="20"/>
      <c r="K208" s="20"/>
      <c r="L208" s="20"/>
      <c r="M208" s="20"/>
      <c r="N208" s="20"/>
      <c r="O208" s="20"/>
      <c r="P208" s="44"/>
    </row>
    <row r="209" spans="1:15" s="10" customFormat="1" ht="87.75" customHeight="1">
      <c r="A209" s="10">
        <v>78</v>
      </c>
      <c r="B209" s="89" t="s">
        <v>481</v>
      </c>
      <c r="C209" s="90" t="s">
        <v>43</v>
      </c>
      <c r="D209" s="72" t="s">
        <v>189</v>
      </c>
      <c r="E209" s="71">
        <f>1133.4+8.998+30.5-10.5</f>
        <v>1162.3980000000001</v>
      </c>
      <c r="F209" s="71">
        <f>689.725+13.118</f>
        <v>702.8430000000001</v>
      </c>
      <c r="G209" s="71">
        <v>29.4</v>
      </c>
      <c r="H209" s="68">
        <f>I209+L209</f>
        <v>41.934</v>
      </c>
      <c r="I209" s="71"/>
      <c r="J209" s="71"/>
      <c r="K209" s="71"/>
      <c r="L209" s="71">
        <f>13+18.434+10.5</f>
        <v>41.934</v>
      </c>
      <c r="M209" s="71">
        <f>13+18.434+10.5</f>
        <v>41.934</v>
      </c>
      <c r="N209" s="71">
        <f>13+10.5-23.5</f>
        <v>0</v>
      </c>
      <c r="O209" s="69">
        <f>E209+H209</f>
        <v>1204.332</v>
      </c>
    </row>
    <row r="210" spans="2:15" s="33" customFormat="1" ht="39" customHeight="1" hidden="1">
      <c r="B210" s="66"/>
      <c r="C210" s="7" t="s">
        <v>168</v>
      </c>
      <c r="D210" s="67" t="s">
        <v>169</v>
      </c>
      <c r="E210" s="71"/>
      <c r="F210" s="71"/>
      <c r="G210" s="71"/>
      <c r="H210" s="68">
        <f>I210+L210</f>
        <v>0</v>
      </c>
      <c r="I210" s="71"/>
      <c r="J210" s="71"/>
      <c r="K210" s="71"/>
      <c r="L210" s="71"/>
      <c r="M210" s="71"/>
      <c r="N210" s="71"/>
      <c r="O210" s="69">
        <f>E210+H210</f>
        <v>0</v>
      </c>
    </row>
    <row r="211" spans="1:15" s="33" customFormat="1" ht="205.5" customHeight="1">
      <c r="A211" s="33">
        <v>79</v>
      </c>
      <c r="B211" s="66" t="s">
        <v>94</v>
      </c>
      <c r="C211" s="7" t="s">
        <v>126</v>
      </c>
      <c r="D211" s="67" t="s">
        <v>127</v>
      </c>
      <c r="E211" s="71"/>
      <c r="F211" s="71"/>
      <c r="G211" s="71"/>
      <c r="H211" s="68">
        <f>I211+L211</f>
        <v>7521</v>
      </c>
      <c r="I211" s="71">
        <f>8500-979</f>
        <v>7521</v>
      </c>
      <c r="J211" s="71"/>
      <c r="K211" s="71"/>
      <c r="L211" s="71"/>
      <c r="M211" s="71"/>
      <c r="N211" s="71"/>
      <c r="O211" s="69">
        <f>E211+H211</f>
        <v>7521</v>
      </c>
    </row>
    <row r="212" spans="1:15" s="10" customFormat="1" ht="141.75" customHeight="1">
      <c r="A212" s="10">
        <v>80</v>
      </c>
      <c r="B212" s="66" t="s">
        <v>423</v>
      </c>
      <c r="C212" s="7" t="s">
        <v>66</v>
      </c>
      <c r="D212" s="67" t="s">
        <v>143</v>
      </c>
      <c r="E212" s="20">
        <v>42313.4</v>
      </c>
      <c r="F212" s="20"/>
      <c r="G212" s="20"/>
      <c r="H212" s="20">
        <f>I212+L212</f>
        <v>0</v>
      </c>
      <c r="I212" s="73"/>
      <c r="J212" s="20"/>
      <c r="K212" s="20"/>
      <c r="L212" s="20"/>
      <c r="M212" s="20"/>
      <c r="N212" s="20"/>
      <c r="O212" s="20">
        <f>E212+H212</f>
        <v>42313.4</v>
      </c>
    </row>
    <row r="213" spans="1:15" s="10" customFormat="1" ht="81" customHeight="1" hidden="1">
      <c r="A213" s="10">
        <v>81</v>
      </c>
      <c r="B213" s="66" t="s">
        <v>292</v>
      </c>
      <c r="C213" s="7" t="s">
        <v>166</v>
      </c>
      <c r="D213" s="83" t="s">
        <v>167</v>
      </c>
      <c r="E213" s="20"/>
      <c r="F213" s="20"/>
      <c r="G213" s="20"/>
      <c r="H213" s="20">
        <f>I213+L213</f>
        <v>0</v>
      </c>
      <c r="I213" s="88"/>
      <c r="J213" s="20"/>
      <c r="K213" s="20"/>
      <c r="L213" s="20"/>
      <c r="M213" s="20"/>
      <c r="N213" s="20"/>
      <c r="O213" s="20">
        <f>E213+H213</f>
        <v>0</v>
      </c>
    </row>
    <row r="214" spans="2:15" s="149" customFormat="1" ht="45" customHeight="1">
      <c r="B214" s="147"/>
      <c r="C214" s="148"/>
      <c r="D214" s="108" t="s">
        <v>442</v>
      </c>
      <c r="E214" s="170">
        <f>SUM(E209:E213)</f>
        <v>43475.798</v>
      </c>
      <c r="F214" s="98">
        <f aca="true" t="shared" si="50" ref="F214:N214">SUM(F209:F213)</f>
        <v>702.8430000000001</v>
      </c>
      <c r="G214" s="98">
        <f t="shared" si="50"/>
        <v>29.4</v>
      </c>
      <c r="H214" s="98">
        <f>SUM(H209:H213)</f>
        <v>7562.934</v>
      </c>
      <c r="I214" s="98">
        <f t="shared" si="50"/>
        <v>7521</v>
      </c>
      <c r="J214" s="98">
        <f t="shared" si="50"/>
        <v>0</v>
      </c>
      <c r="K214" s="98">
        <f t="shared" si="50"/>
        <v>0</v>
      </c>
      <c r="L214" s="98">
        <f>SUM(L209:L213)</f>
        <v>41.934</v>
      </c>
      <c r="M214" s="98">
        <f t="shared" si="50"/>
        <v>41.934</v>
      </c>
      <c r="N214" s="98">
        <f t="shared" si="50"/>
        <v>0</v>
      </c>
      <c r="O214" s="98">
        <f>SUM(O209:O213)</f>
        <v>51038.732</v>
      </c>
    </row>
    <row r="215" spans="2:16" s="163" customFormat="1" ht="65.25" customHeight="1">
      <c r="B215" s="101" t="s">
        <v>484</v>
      </c>
      <c r="C215" s="105"/>
      <c r="D215" s="102" t="s">
        <v>488</v>
      </c>
      <c r="E215" s="161"/>
      <c r="F215" s="161"/>
      <c r="G215" s="161"/>
      <c r="H215" s="161"/>
      <c r="I215" s="161"/>
      <c r="J215" s="161"/>
      <c r="K215" s="161"/>
      <c r="L215" s="161"/>
      <c r="M215" s="161"/>
      <c r="N215" s="161"/>
      <c r="O215" s="161"/>
      <c r="P215" s="162" t="e">
        <f>O215-#REF!</f>
        <v>#REF!</v>
      </c>
    </row>
    <row r="216" spans="2:16" s="10" customFormat="1" ht="74.25" customHeight="1">
      <c r="B216" s="66" t="s">
        <v>485</v>
      </c>
      <c r="C216" s="7"/>
      <c r="D216" s="67" t="s">
        <v>489</v>
      </c>
      <c r="E216" s="20"/>
      <c r="F216" s="20"/>
      <c r="G216" s="20"/>
      <c r="H216" s="20"/>
      <c r="I216" s="20"/>
      <c r="J216" s="20"/>
      <c r="K216" s="20"/>
      <c r="L216" s="20"/>
      <c r="M216" s="20"/>
      <c r="N216" s="20"/>
      <c r="O216" s="20"/>
      <c r="P216" s="44"/>
    </row>
    <row r="217" spans="1:15" s="10" customFormat="1" ht="93.75" customHeight="1">
      <c r="A217" s="10">
        <v>81</v>
      </c>
      <c r="B217" s="89" t="s">
        <v>490</v>
      </c>
      <c r="C217" s="90" t="s">
        <v>43</v>
      </c>
      <c r="D217" s="72" t="s">
        <v>190</v>
      </c>
      <c r="E217" s="71">
        <f>434.8+6.7034+1.2+6.836</f>
        <v>449.5394</v>
      </c>
      <c r="F217" s="71">
        <f>262.961+3.136</f>
        <v>266.09700000000004</v>
      </c>
      <c r="G217" s="71">
        <f>8.265+0.9</f>
        <v>9.165000000000001</v>
      </c>
      <c r="H217" s="68">
        <f>I217+L217</f>
        <v>2.3</v>
      </c>
      <c r="I217" s="71"/>
      <c r="J217" s="71"/>
      <c r="K217" s="71"/>
      <c r="L217" s="71">
        <v>2.3</v>
      </c>
      <c r="M217" s="71">
        <v>2.3</v>
      </c>
      <c r="N217" s="71">
        <v>2.3</v>
      </c>
      <c r="O217" s="69">
        <f>E217+H217</f>
        <v>451.8394</v>
      </c>
    </row>
    <row r="218" spans="2:15" s="126" customFormat="1" ht="27" customHeight="1">
      <c r="B218" s="122"/>
      <c r="C218" s="123" t="s">
        <v>107</v>
      </c>
      <c r="D218" s="124" t="s">
        <v>108</v>
      </c>
      <c r="E218" s="125">
        <f>SUM(E220:E223)</f>
        <v>3513.2916400000004</v>
      </c>
      <c r="F218" s="125">
        <f aca="true" t="shared" si="51" ref="F218:N218">SUM(F220:F223)</f>
        <v>2151.2850000000003</v>
      </c>
      <c r="G218" s="125">
        <f t="shared" si="51"/>
        <v>77.60000000000001</v>
      </c>
      <c r="H218" s="125">
        <f t="shared" si="51"/>
        <v>457.915</v>
      </c>
      <c r="I218" s="125">
        <f t="shared" si="51"/>
        <v>135.1</v>
      </c>
      <c r="J218" s="125">
        <f t="shared" si="51"/>
        <v>98</v>
      </c>
      <c r="K218" s="125">
        <f t="shared" si="51"/>
        <v>0</v>
      </c>
      <c r="L218" s="125">
        <f t="shared" si="51"/>
        <v>322.815</v>
      </c>
      <c r="M218" s="125">
        <f t="shared" si="51"/>
        <v>322.815</v>
      </c>
      <c r="N218" s="125">
        <f t="shared" si="51"/>
        <v>87.715</v>
      </c>
      <c r="O218" s="125">
        <f t="shared" si="43"/>
        <v>3971.2066400000003</v>
      </c>
    </row>
    <row r="219" spans="2:15" s="10" customFormat="1" ht="28.5" customHeight="1">
      <c r="B219" s="66"/>
      <c r="C219" s="7" t="s">
        <v>107</v>
      </c>
      <c r="D219" s="67" t="s">
        <v>20</v>
      </c>
      <c r="E219" s="20">
        <f>SUM(E220:E224)</f>
        <v>3781.3912200000004</v>
      </c>
      <c r="F219" s="20">
        <f aca="true" t="shared" si="52" ref="F219:N219">SUM(F220:F224)</f>
        <v>2319.1450000000004</v>
      </c>
      <c r="G219" s="20">
        <f t="shared" si="52"/>
        <v>81.46000000000001</v>
      </c>
      <c r="H219" s="20">
        <f t="shared" si="35"/>
        <v>462.91499999999996</v>
      </c>
      <c r="I219" s="20">
        <f t="shared" si="52"/>
        <v>135.1</v>
      </c>
      <c r="J219" s="20">
        <f t="shared" si="52"/>
        <v>98</v>
      </c>
      <c r="K219" s="20">
        <f t="shared" si="52"/>
        <v>0</v>
      </c>
      <c r="L219" s="20">
        <f t="shared" si="52"/>
        <v>327.815</v>
      </c>
      <c r="M219" s="20">
        <f t="shared" si="52"/>
        <v>327.815</v>
      </c>
      <c r="N219" s="20">
        <f t="shared" si="52"/>
        <v>92.715</v>
      </c>
      <c r="O219" s="20">
        <f t="shared" si="43"/>
        <v>4244.30622</v>
      </c>
    </row>
    <row r="220" spans="1:15" s="10" customFormat="1" ht="24" customHeight="1">
      <c r="A220" s="10">
        <v>82</v>
      </c>
      <c r="B220" s="66" t="s">
        <v>405</v>
      </c>
      <c r="C220" s="7" t="s">
        <v>86</v>
      </c>
      <c r="D220" s="87" t="s">
        <v>109</v>
      </c>
      <c r="E220" s="20">
        <f>427.992+4.14714+3.5-2.5</f>
        <v>433.13914</v>
      </c>
      <c r="F220" s="20">
        <f>277.387-1</f>
        <v>276.387</v>
      </c>
      <c r="G220" s="20">
        <f>11.52</f>
        <v>11.52</v>
      </c>
      <c r="H220" s="68">
        <f t="shared" si="35"/>
        <v>44.7</v>
      </c>
      <c r="I220" s="20"/>
      <c r="J220" s="20"/>
      <c r="K220" s="20"/>
      <c r="L220" s="20">
        <f>20+4.7+10+10</f>
        <v>44.7</v>
      </c>
      <c r="M220" s="20">
        <f>20+4.7+10+10</f>
        <v>44.7</v>
      </c>
      <c r="N220" s="20">
        <f>20+4.7+10-10</f>
        <v>24.700000000000003</v>
      </c>
      <c r="O220" s="69">
        <f t="shared" si="43"/>
        <v>477.83914</v>
      </c>
    </row>
    <row r="221" spans="1:15" s="10" customFormat="1" ht="29.25" customHeight="1">
      <c r="A221" s="10">
        <v>83</v>
      </c>
      <c r="B221" s="66" t="s">
        <v>406</v>
      </c>
      <c r="C221" s="7" t="s">
        <v>90</v>
      </c>
      <c r="D221" s="67" t="s">
        <v>110</v>
      </c>
      <c r="E221" s="20">
        <f>257.952+2.01724+20-3.9</f>
        <v>276.06924000000004</v>
      </c>
      <c r="F221" s="20">
        <f>148.097+1</f>
        <v>149.097</v>
      </c>
      <c r="G221" s="20">
        <f>41.14-6.4</f>
        <v>34.74</v>
      </c>
      <c r="H221" s="68">
        <f t="shared" si="35"/>
        <v>11.369</v>
      </c>
      <c r="I221" s="20"/>
      <c r="J221" s="20"/>
      <c r="K221" s="20"/>
      <c r="L221" s="20">
        <f>5+6.369</f>
        <v>11.369</v>
      </c>
      <c r="M221" s="20">
        <f>5+6.369</f>
        <v>11.369</v>
      </c>
      <c r="N221" s="20">
        <f>5+6.369</f>
        <v>11.369</v>
      </c>
      <c r="O221" s="69">
        <f t="shared" si="43"/>
        <v>287.43824000000006</v>
      </c>
    </row>
    <row r="222" spans="1:15" s="10" customFormat="1" ht="33.75" customHeight="1">
      <c r="A222" s="10">
        <v>84</v>
      </c>
      <c r="B222" s="66" t="s">
        <v>408</v>
      </c>
      <c r="C222" s="7" t="s">
        <v>87</v>
      </c>
      <c r="D222" s="87" t="s">
        <v>407</v>
      </c>
      <c r="E222" s="20">
        <f>2234.743+5.31068+33.8-34.1</f>
        <v>2239.7536800000003</v>
      </c>
      <c r="F222" s="20">
        <f>1582.941-25</f>
        <v>1557.941</v>
      </c>
      <c r="G222" s="20">
        <f>26.28+1.2</f>
        <v>27.48</v>
      </c>
      <c r="H222" s="68">
        <f t="shared" si="35"/>
        <v>350.2</v>
      </c>
      <c r="I222" s="20">
        <v>135.1</v>
      </c>
      <c r="J222" s="20">
        <v>98</v>
      </c>
      <c r="K222" s="20">
        <v>0</v>
      </c>
      <c r="L222" s="20">
        <f>253.2-14-24.1</f>
        <v>215.1</v>
      </c>
      <c r="M222" s="20">
        <f>253.2-14-24.1</f>
        <v>215.1</v>
      </c>
      <c r="N222" s="20">
        <f>253.2-14-186-24.1-29.1</f>
        <v>0</v>
      </c>
      <c r="O222" s="69">
        <f t="shared" si="43"/>
        <v>2589.95368</v>
      </c>
    </row>
    <row r="223" spans="1:15" s="126" customFormat="1" ht="45" customHeight="1">
      <c r="A223" s="10"/>
      <c r="B223" s="122" t="s">
        <v>393</v>
      </c>
      <c r="C223" s="123" t="s">
        <v>88</v>
      </c>
      <c r="D223" s="124" t="s">
        <v>394</v>
      </c>
      <c r="E223" s="125">
        <f>SUM(E224:E225)</f>
        <v>564.32958</v>
      </c>
      <c r="F223" s="125">
        <f aca="true" t="shared" si="53" ref="F223:O223">SUM(F224:F225)</f>
        <v>167.86</v>
      </c>
      <c r="G223" s="125">
        <f t="shared" si="53"/>
        <v>3.8600000000000003</v>
      </c>
      <c r="H223" s="125">
        <f t="shared" si="53"/>
        <v>51.646</v>
      </c>
      <c r="I223" s="125">
        <f t="shared" si="53"/>
        <v>0</v>
      </c>
      <c r="J223" s="125">
        <f t="shared" si="53"/>
        <v>0</v>
      </c>
      <c r="K223" s="125">
        <f t="shared" si="53"/>
        <v>0</v>
      </c>
      <c r="L223" s="125">
        <f t="shared" si="53"/>
        <v>51.646</v>
      </c>
      <c r="M223" s="125">
        <f t="shared" si="53"/>
        <v>51.646</v>
      </c>
      <c r="N223" s="125">
        <f t="shared" si="53"/>
        <v>51.646</v>
      </c>
      <c r="O223" s="125">
        <f t="shared" si="53"/>
        <v>615.97558</v>
      </c>
    </row>
    <row r="224" spans="1:15" s="79" customFormat="1" ht="55.5" customHeight="1">
      <c r="A224" s="79">
        <v>85</v>
      </c>
      <c r="B224" s="74" t="s">
        <v>313</v>
      </c>
      <c r="C224" s="75" t="s">
        <v>88</v>
      </c>
      <c r="D224" s="76" t="s">
        <v>162</v>
      </c>
      <c r="E224" s="77">
        <f>226.613+7.88658+33.6</f>
        <v>268.09958</v>
      </c>
      <c r="F224" s="77">
        <f>142.86+25</f>
        <v>167.86</v>
      </c>
      <c r="G224" s="77">
        <f>4.36-0.5</f>
        <v>3.8600000000000003</v>
      </c>
      <c r="H224" s="130">
        <f t="shared" si="35"/>
        <v>5</v>
      </c>
      <c r="I224" s="77"/>
      <c r="J224" s="77"/>
      <c r="K224" s="77"/>
      <c r="L224" s="77">
        <v>5</v>
      </c>
      <c r="M224" s="77">
        <v>5</v>
      </c>
      <c r="N224" s="77">
        <v>5</v>
      </c>
      <c r="O224" s="132">
        <f t="shared" si="43"/>
        <v>273.09958</v>
      </c>
    </row>
    <row r="225" spans="1:15" s="79" customFormat="1" ht="75" customHeight="1">
      <c r="A225" s="79">
        <v>86</v>
      </c>
      <c r="B225" s="74" t="s">
        <v>314</v>
      </c>
      <c r="C225" s="75" t="s">
        <v>88</v>
      </c>
      <c r="D225" s="117" t="s">
        <v>1</v>
      </c>
      <c r="E225" s="77">
        <f>300+4.876-10+38-36.646</f>
        <v>296.22999999999996</v>
      </c>
      <c r="F225" s="77"/>
      <c r="G225" s="77"/>
      <c r="H225" s="130">
        <f t="shared" si="35"/>
        <v>46.646</v>
      </c>
      <c r="I225" s="131"/>
      <c r="J225" s="131"/>
      <c r="K225" s="131"/>
      <c r="L225" s="77">
        <f>10+36.646</f>
        <v>46.646</v>
      </c>
      <c r="M225" s="77">
        <f>10+36.646</f>
        <v>46.646</v>
      </c>
      <c r="N225" s="77">
        <f>10+36.646</f>
        <v>46.646</v>
      </c>
      <c r="O225" s="132">
        <f t="shared" si="43"/>
        <v>342.876</v>
      </c>
    </row>
    <row r="226" spans="2:15" s="10" customFormat="1" ht="45" customHeight="1" hidden="1">
      <c r="B226" s="66"/>
      <c r="C226" s="7" t="s">
        <v>57</v>
      </c>
      <c r="D226" s="67" t="s">
        <v>207</v>
      </c>
      <c r="E226" s="20">
        <f>SUM(E227:E234)</f>
        <v>0</v>
      </c>
      <c r="F226" s="20"/>
      <c r="G226" s="20"/>
      <c r="H226" s="20">
        <f t="shared" si="35"/>
        <v>0</v>
      </c>
      <c r="I226" s="73"/>
      <c r="J226" s="20"/>
      <c r="K226" s="20"/>
      <c r="L226" s="20"/>
      <c r="M226" s="20"/>
      <c r="N226" s="20"/>
      <c r="O226" s="20">
        <f t="shared" si="43"/>
        <v>0</v>
      </c>
    </row>
    <row r="227" spans="2:15" s="10" customFormat="1" ht="79.5" customHeight="1" hidden="1">
      <c r="B227" s="66"/>
      <c r="C227" s="7" t="s">
        <v>57</v>
      </c>
      <c r="D227" s="67" t="s">
        <v>203</v>
      </c>
      <c r="E227" s="20">
        <f>15-15</f>
        <v>0</v>
      </c>
      <c r="F227" s="20"/>
      <c r="G227" s="20"/>
      <c r="H227" s="20">
        <f t="shared" si="35"/>
        <v>0</v>
      </c>
      <c r="I227" s="73"/>
      <c r="J227" s="20"/>
      <c r="K227" s="20"/>
      <c r="L227" s="20"/>
      <c r="M227" s="20"/>
      <c r="N227" s="20"/>
      <c r="O227" s="20">
        <f t="shared" si="43"/>
        <v>0</v>
      </c>
    </row>
    <row r="228" spans="2:15" s="10" customFormat="1" ht="53.25" customHeight="1" hidden="1">
      <c r="B228" s="66"/>
      <c r="C228" s="7" t="s">
        <v>57</v>
      </c>
      <c r="D228" s="67" t="s">
        <v>204</v>
      </c>
      <c r="E228" s="20"/>
      <c r="F228" s="20"/>
      <c r="G228" s="20"/>
      <c r="H228" s="20">
        <f t="shared" si="35"/>
        <v>0</v>
      </c>
      <c r="I228" s="73"/>
      <c r="J228" s="20"/>
      <c r="K228" s="20"/>
      <c r="L228" s="20"/>
      <c r="M228" s="20"/>
      <c r="N228" s="20"/>
      <c r="O228" s="20">
        <f t="shared" si="43"/>
        <v>0</v>
      </c>
    </row>
    <row r="229" spans="2:15" s="10" customFormat="1" ht="63" customHeight="1" hidden="1">
      <c r="B229" s="66"/>
      <c r="C229" s="7" t="s">
        <v>57</v>
      </c>
      <c r="D229" s="67" t="s">
        <v>205</v>
      </c>
      <c r="E229" s="20"/>
      <c r="F229" s="20"/>
      <c r="G229" s="20"/>
      <c r="H229" s="20">
        <f aca="true" t="shared" si="54" ref="H229:H275">I229+L229</f>
        <v>0</v>
      </c>
      <c r="I229" s="73"/>
      <c r="J229" s="20"/>
      <c r="K229" s="20"/>
      <c r="L229" s="20"/>
      <c r="M229" s="20"/>
      <c r="N229" s="20"/>
      <c r="O229" s="20">
        <f t="shared" si="43"/>
        <v>0</v>
      </c>
    </row>
    <row r="230" spans="2:15" s="10" customFormat="1" ht="63" customHeight="1" hidden="1">
      <c r="B230" s="66"/>
      <c r="C230" s="7" t="s">
        <v>57</v>
      </c>
      <c r="D230" s="67" t="s">
        <v>137</v>
      </c>
      <c r="E230" s="19"/>
      <c r="F230" s="20"/>
      <c r="G230" s="20"/>
      <c r="H230" s="20">
        <f t="shared" si="54"/>
        <v>0</v>
      </c>
      <c r="I230" s="73"/>
      <c r="J230" s="20"/>
      <c r="K230" s="20"/>
      <c r="L230" s="20"/>
      <c r="M230" s="20"/>
      <c r="N230" s="20"/>
      <c r="O230" s="20">
        <f t="shared" si="43"/>
        <v>0</v>
      </c>
    </row>
    <row r="231" spans="2:15" s="10" customFormat="1" ht="68.25" customHeight="1" hidden="1">
      <c r="B231" s="66"/>
      <c r="C231" s="7" t="s">
        <v>57</v>
      </c>
      <c r="D231" s="87" t="s">
        <v>138</v>
      </c>
      <c r="E231" s="19"/>
      <c r="F231" s="20"/>
      <c r="G231" s="20"/>
      <c r="H231" s="20">
        <f t="shared" si="54"/>
        <v>0</v>
      </c>
      <c r="I231" s="73"/>
      <c r="J231" s="20"/>
      <c r="K231" s="20"/>
      <c r="L231" s="20"/>
      <c r="M231" s="20"/>
      <c r="N231" s="20"/>
      <c r="O231" s="20">
        <f t="shared" si="43"/>
        <v>0</v>
      </c>
    </row>
    <row r="232" spans="2:15" s="10" customFormat="1" ht="87.75" customHeight="1" hidden="1">
      <c r="B232" s="66"/>
      <c r="C232" s="7" t="s">
        <v>57</v>
      </c>
      <c r="D232" s="87" t="s">
        <v>139</v>
      </c>
      <c r="E232" s="19"/>
      <c r="F232" s="20"/>
      <c r="G232" s="20"/>
      <c r="H232" s="20">
        <f t="shared" si="54"/>
        <v>0</v>
      </c>
      <c r="I232" s="73"/>
      <c r="J232" s="20"/>
      <c r="K232" s="20"/>
      <c r="L232" s="20"/>
      <c r="M232" s="20"/>
      <c r="N232" s="20"/>
      <c r="O232" s="20">
        <f t="shared" si="43"/>
        <v>0</v>
      </c>
    </row>
    <row r="233" spans="2:15" s="10" customFormat="1" ht="63" customHeight="1" hidden="1">
      <c r="B233" s="66"/>
      <c r="C233" s="7" t="s">
        <v>57</v>
      </c>
      <c r="D233" s="67" t="s">
        <v>206</v>
      </c>
      <c r="E233" s="20"/>
      <c r="F233" s="20"/>
      <c r="G233" s="20"/>
      <c r="H233" s="20">
        <f t="shared" si="54"/>
        <v>0</v>
      </c>
      <c r="I233" s="73"/>
      <c r="J233" s="20"/>
      <c r="K233" s="20"/>
      <c r="L233" s="20"/>
      <c r="M233" s="20"/>
      <c r="N233" s="20"/>
      <c r="O233" s="20">
        <f t="shared" si="43"/>
        <v>0</v>
      </c>
    </row>
    <row r="234" spans="2:15" s="10" customFormat="1" ht="86.25" customHeight="1" hidden="1">
      <c r="B234" s="66"/>
      <c r="C234" s="7" t="s">
        <v>57</v>
      </c>
      <c r="D234" s="67" t="s">
        <v>164</v>
      </c>
      <c r="E234" s="20"/>
      <c r="F234" s="20"/>
      <c r="G234" s="20"/>
      <c r="H234" s="20">
        <f t="shared" si="54"/>
        <v>0</v>
      </c>
      <c r="I234" s="73"/>
      <c r="J234" s="20"/>
      <c r="K234" s="20"/>
      <c r="L234" s="20"/>
      <c r="M234" s="20"/>
      <c r="N234" s="20"/>
      <c r="O234" s="20">
        <f t="shared" si="43"/>
        <v>0</v>
      </c>
    </row>
    <row r="235" spans="1:15" s="126" customFormat="1" ht="66" customHeight="1">
      <c r="A235" s="126">
        <v>87</v>
      </c>
      <c r="B235" s="122" t="s">
        <v>410</v>
      </c>
      <c r="C235" s="123" t="s">
        <v>117</v>
      </c>
      <c r="D235" s="127" t="s">
        <v>409</v>
      </c>
      <c r="E235" s="125">
        <f>35+17.6</f>
        <v>52.6</v>
      </c>
      <c r="F235" s="125"/>
      <c r="G235" s="125"/>
      <c r="H235" s="125">
        <f t="shared" si="54"/>
        <v>0</v>
      </c>
      <c r="I235" s="128"/>
      <c r="J235" s="125"/>
      <c r="K235" s="125"/>
      <c r="L235" s="125"/>
      <c r="M235" s="125"/>
      <c r="N235" s="125"/>
      <c r="O235" s="125">
        <f t="shared" si="43"/>
        <v>52.6</v>
      </c>
    </row>
    <row r="236" spans="2:15" s="10" customFormat="1" ht="48" customHeight="1">
      <c r="B236" s="66"/>
      <c r="C236" s="7" t="s">
        <v>26</v>
      </c>
      <c r="D236" s="67" t="s">
        <v>25</v>
      </c>
      <c r="E236" s="20">
        <f>SUM(E238:E241)</f>
        <v>1448.33737</v>
      </c>
      <c r="F236" s="20">
        <f aca="true" t="shared" si="55" ref="F236:N236">SUM(F238:F241)</f>
        <v>809.862</v>
      </c>
      <c r="G236" s="20">
        <f t="shared" si="55"/>
        <v>23.8</v>
      </c>
      <c r="H236" s="20">
        <f t="shared" si="55"/>
        <v>98.343</v>
      </c>
      <c r="I236" s="20">
        <f t="shared" si="55"/>
        <v>93.123</v>
      </c>
      <c r="J236" s="20">
        <f t="shared" si="55"/>
        <v>0</v>
      </c>
      <c r="K236" s="20">
        <f t="shared" si="55"/>
        <v>0</v>
      </c>
      <c r="L236" s="20">
        <f t="shared" si="55"/>
        <v>5.22</v>
      </c>
      <c r="M236" s="20">
        <f t="shared" si="55"/>
        <v>5.22</v>
      </c>
      <c r="N236" s="20">
        <f t="shared" si="55"/>
        <v>0</v>
      </c>
      <c r="O236" s="20">
        <f>E236+H236</f>
        <v>1546.68037</v>
      </c>
    </row>
    <row r="237" spans="2:16" s="126" customFormat="1" ht="48" customHeight="1">
      <c r="B237" s="122" t="s">
        <v>491</v>
      </c>
      <c r="C237" s="123"/>
      <c r="D237" s="127" t="s">
        <v>492</v>
      </c>
      <c r="E237" s="125">
        <f>SUM(E238:E239)</f>
        <v>102.196</v>
      </c>
      <c r="F237" s="125">
        <f aca="true" t="shared" si="56" ref="F237:O237">SUM(F238:F239)</f>
        <v>0</v>
      </c>
      <c r="G237" s="125">
        <f t="shared" si="56"/>
        <v>0</v>
      </c>
      <c r="H237" s="125">
        <f t="shared" si="56"/>
        <v>0</v>
      </c>
      <c r="I237" s="125">
        <f t="shared" si="56"/>
        <v>0</v>
      </c>
      <c r="J237" s="125">
        <f t="shared" si="56"/>
        <v>0</v>
      </c>
      <c r="K237" s="125">
        <f t="shared" si="56"/>
        <v>0</v>
      </c>
      <c r="L237" s="125">
        <f t="shared" si="56"/>
        <v>0</v>
      </c>
      <c r="M237" s="125">
        <f t="shared" si="56"/>
        <v>0</v>
      </c>
      <c r="N237" s="125">
        <f t="shared" si="56"/>
        <v>0</v>
      </c>
      <c r="O237" s="125">
        <f t="shared" si="56"/>
        <v>102.196</v>
      </c>
      <c r="P237" s="144">
        <f>H237+E237</f>
        <v>102.196</v>
      </c>
    </row>
    <row r="238" spans="1:15" s="79" customFormat="1" ht="83.25" customHeight="1">
      <c r="A238" s="79">
        <v>88</v>
      </c>
      <c r="B238" s="74" t="s">
        <v>411</v>
      </c>
      <c r="C238" s="75" t="s">
        <v>140</v>
      </c>
      <c r="D238" s="117" t="s">
        <v>2</v>
      </c>
      <c r="E238" s="77">
        <f>45-1.244-9</f>
        <v>34.756</v>
      </c>
      <c r="F238" s="77"/>
      <c r="G238" s="77"/>
      <c r="H238" s="77">
        <f t="shared" si="54"/>
        <v>0</v>
      </c>
      <c r="I238" s="78"/>
      <c r="J238" s="77"/>
      <c r="K238" s="77"/>
      <c r="L238" s="77"/>
      <c r="M238" s="77"/>
      <c r="N238" s="77"/>
      <c r="O238" s="77">
        <f t="shared" si="43"/>
        <v>34.756</v>
      </c>
    </row>
    <row r="239" spans="1:15" s="79" customFormat="1" ht="87" customHeight="1">
      <c r="A239" s="79">
        <v>89</v>
      </c>
      <c r="B239" s="74" t="s">
        <v>412</v>
      </c>
      <c r="C239" s="75" t="s">
        <v>24</v>
      </c>
      <c r="D239" s="117" t="s">
        <v>3</v>
      </c>
      <c r="E239" s="77">
        <f>70-2.56</f>
        <v>67.44</v>
      </c>
      <c r="F239" s="77"/>
      <c r="G239" s="77"/>
      <c r="H239" s="77">
        <f t="shared" si="54"/>
        <v>0</v>
      </c>
      <c r="I239" s="78"/>
      <c r="J239" s="77"/>
      <c r="K239" s="77"/>
      <c r="L239" s="77"/>
      <c r="M239" s="77"/>
      <c r="N239" s="77"/>
      <c r="O239" s="77">
        <f t="shared" si="43"/>
        <v>67.44</v>
      </c>
    </row>
    <row r="240" spans="1:15" s="126" customFormat="1" ht="81" customHeight="1">
      <c r="A240" s="126">
        <v>90</v>
      </c>
      <c r="B240" s="122" t="s">
        <v>413</v>
      </c>
      <c r="C240" s="123" t="s">
        <v>120</v>
      </c>
      <c r="D240" s="127" t="s">
        <v>6</v>
      </c>
      <c r="E240" s="125">
        <f>35+25.86+3.804-8.6</f>
        <v>56.064</v>
      </c>
      <c r="F240" s="125"/>
      <c r="G240" s="125"/>
      <c r="H240" s="125">
        <f t="shared" si="54"/>
        <v>0</v>
      </c>
      <c r="I240" s="128"/>
      <c r="J240" s="125"/>
      <c r="K240" s="125"/>
      <c r="L240" s="125"/>
      <c r="M240" s="125"/>
      <c r="N240" s="125"/>
      <c r="O240" s="125">
        <f t="shared" si="43"/>
        <v>56.064</v>
      </c>
    </row>
    <row r="241" spans="2:16" s="126" customFormat="1" ht="64.5" customHeight="1">
      <c r="B241" s="122" t="s">
        <v>493</v>
      </c>
      <c r="C241" s="123"/>
      <c r="D241" s="127" t="s">
        <v>494</v>
      </c>
      <c r="E241" s="125">
        <f>E242</f>
        <v>1290.07737</v>
      </c>
      <c r="F241" s="125">
        <f aca="true" t="shared" si="57" ref="F241:O241">F242</f>
        <v>809.862</v>
      </c>
      <c r="G241" s="125">
        <f t="shared" si="57"/>
        <v>23.8</v>
      </c>
      <c r="H241" s="125">
        <f t="shared" si="57"/>
        <v>98.343</v>
      </c>
      <c r="I241" s="125">
        <f t="shared" si="57"/>
        <v>93.123</v>
      </c>
      <c r="J241" s="125">
        <f t="shared" si="57"/>
        <v>0</v>
      </c>
      <c r="K241" s="125">
        <f t="shared" si="57"/>
        <v>0</v>
      </c>
      <c r="L241" s="125">
        <f t="shared" si="57"/>
        <v>5.22</v>
      </c>
      <c r="M241" s="125">
        <f t="shared" si="57"/>
        <v>5.22</v>
      </c>
      <c r="N241" s="125">
        <f t="shared" si="57"/>
        <v>0</v>
      </c>
      <c r="O241" s="125">
        <f t="shared" si="57"/>
        <v>1388.42037</v>
      </c>
      <c r="P241" s="144">
        <f>H241+E241</f>
        <v>1388.42037</v>
      </c>
    </row>
    <row r="242" spans="1:15" s="10" customFormat="1" ht="60.75" customHeight="1">
      <c r="A242" s="10">
        <v>91</v>
      </c>
      <c r="B242" s="66" t="s">
        <v>414</v>
      </c>
      <c r="C242" s="7" t="s">
        <v>46</v>
      </c>
      <c r="D242" s="87" t="s">
        <v>196</v>
      </c>
      <c r="E242" s="20">
        <f>SUM(E243:E245)</f>
        <v>1290.07737</v>
      </c>
      <c r="F242" s="20">
        <f aca="true" t="shared" si="58" ref="F242:O242">SUM(F243:F245)</f>
        <v>809.862</v>
      </c>
      <c r="G242" s="20">
        <f t="shared" si="58"/>
        <v>23.8</v>
      </c>
      <c r="H242" s="20">
        <f>SUM(H243:H245)</f>
        <v>98.343</v>
      </c>
      <c r="I242" s="20">
        <f>SUM(I243:I245)</f>
        <v>93.123</v>
      </c>
      <c r="J242" s="20">
        <f t="shared" si="58"/>
        <v>0</v>
      </c>
      <c r="K242" s="20">
        <f t="shared" si="58"/>
        <v>0</v>
      </c>
      <c r="L242" s="20">
        <f t="shared" si="58"/>
        <v>5.22</v>
      </c>
      <c r="M242" s="20">
        <f t="shared" si="58"/>
        <v>5.22</v>
      </c>
      <c r="N242" s="20">
        <f t="shared" si="58"/>
        <v>0</v>
      </c>
      <c r="O242" s="20">
        <f t="shared" si="58"/>
        <v>1388.42037</v>
      </c>
    </row>
    <row r="243" spans="2:15" s="79" customFormat="1" ht="43.5" customHeight="1">
      <c r="B243" s="74"/>
      <c r="C243" s="75"/>
      <c r="D243" s="76" t="s">
        <v>197</v>
      </c>
      <c r="E243" s="77">
        <f>1196.6+8.79737+70+9.68+5</f>
        <v>1290.07737</v>
      </c>
      <c r="F243" s="77">
        <v>809.862</v>
      </c>
      <c r="G243" s="77">
        <f>17.1+1.2+5.5</f>
        <v>23.8</v>
      </c>
      <c r="H243" s="130">
        <f>I243+L243</f>
        <v>5.22</v>
      </c>
      <c r="I243" s="77"/>
      <c r="J243" s="77"/>
      <c r="K243" s="77"/>
      <c r="L243" s="77">
        <v>5.22</v>
      </c>
      <c r="M243" s="77">
        <v>5.22</v>
      </c>
      <c r="N243" s="77"/>
      <c r="O243" s="132">
        <f>E243+H243</f>
        <v>1295.29737</v>
      </c>
    </row>
    <row r="244" spans="2:15" s="79" customFormat="1" ht="60.75" customHeight="1">
      <c r="B244" s="74"/>
      <c r="C244" s="75"/>
      <c r="D244" s="76" t="s">
        <v>321</v>
      </c>
      <c r="E244" s="77"/>
      <c r="F244" s="77"/>
      <c r="G244" s="77"/>
      <c r="H244" s="130">
        <f>I244+L244</f>
        <v>0.405</v>
      </c>
      <c r="I244" s="77">
        <v>0.405</v>
      </c>
      <c r="J244" s="77"/>
      <c r="K244" s="77"/>
      <c r="L244" s="77"/>
      <c r="M244" s="77"/>
      <c r="N244" s="77"/>
      <c r="O244" s="132">
        <f>E244+H244</f>
        <v>0.405</v>
      </c>
    </row>
    <row r="245" spans="2:15" s="79" customFormat="1" ht="38.25" customHeight="1">
      <c r="B245" s="74"/>
      <c r="C245" s="75"/>
      <c r="D245" s="76" t="s">
        <v>184</v>
      </c>
      <c r="E245" s="77"/>
      <c r="F245" s="77"/>
      <c r="G245" s="77"/>
      <c r="H245" s="130">
        <f>I245+L245</f>
        <v>92.718</v>
      </c>
      <c r="I245" s="77">
        <v>92.718</v>
      </c>
      <c r="J245" s="77"/>
      <c r="K245" s="77"/>
      <c r="L245" s="77"/>
      <c r="M245" s="77"/>
      <c r="N245" s="77"/>
      <c r="O245" s="132">
        <f>E245+H245</f>
        <v>92.718</v>
      </c>
    </row>
    <row r="246" spans="1:15" s="79" customFormat="1" ht="75" customHeight="1">
      <c r="A246" s="79">
        <v>92</v>
      </c>
      <c r="B246" s="138" t="s">
        <v>253</v>
      </c>
      <c r="C246" s="123" t="s">
        <v>160</v>
      </c>
      <c r="D246" s="143" t="s">
        <v>397</v>
      </c>
      <c r="E246" s="140">
        <f>SUM(E247:E250)</f>
        <v>0</v>
      </c>
      <c r="F246" s="140">
        <f aca="true" t="shared" si="59" ref="F246:O246">SUM(F247:F250)</f>
        <v>0</v>
      </c>
      <c r="G246" s="140">
        <f t="shared" si="59"/>
        <v>0</v>
      </c>
      <c r="H246" s="140">
        <f>SUM(H247:H250)</f>
        <v>64</v>
      </c>
      <c r="I246" s="140">
        <f t="shared" si="59"/>
        <v>64</v>
      </c>
      <c r="J246" s="140">
        <f t="shared" si="59"/>
        <v>0</v>
      </c>
      <c r="K246" s="140">
        <f t="shared" si="59"/>
        <v>0</v>
      </c>
      <c r="L246" s="140">
        <f t="shared" si="59"/>
        <v>0</v>
      </c>
      <c r="M246" s="140">
        <f t="shared" si="59"/>
        <v>0</v>
      </c>
      <c r="N246" s="140">
        <f t="shared" si="59"/>
        <v>0</v>
      </c>
      <c r="O246" s="140">
        <f t="shared" si="59"/>
        <v>64</v>
      </c>
    </row>
    <row r="247" spans="2:15" s="79" customFormat="1" ht="116.25" customHeight="1">
      <c r="B247" s="74"/>
      <c r="C247" s="75" t="s">
        <v>160</v>
      </c>
      <c r="D247" s="157" t="s">
        <v>398</v>
      </c>
      <c r="E247" s="77"/>
      <c r="F247" s="77"/>
      <c r="G247" s="77"/>
      <c r="H247" s="77">
        <f t="shared" si="54"/>
        <v>21.2</v>
      </c>
      <c r="I247" s="77">
        <f>6.2+15</f>
        <v>21.2</v>
      </c>
      <c r="J247" s="77"/>
      <c r="K247" s="77"/>
      <c r="L247" s="77"/>
      <c r="M247" s="77"/>
      <c r="N247" s="77"/>
      <c r="O247" s="77">
        <f t="shared" si="43"/>
        <v>21.2</v>
      </c>
    </row>
    <row r="248" spans="2:15" s="79" customFormat="1" ht="62.25" customHeight="1">
      <c r="B248" s="74"/>
      <c r="C248" s="75" t="s">
        <v>160</v>
      </c>
      <c r="D248" s="157" t="s">
        <v>364</v>
      </c>
      <c r="E248" s="77"/>
      <c r="F248" s="77"/>
      <c r="G248" s="77"/>
      <c r="H248" s="77">
        <f t="shared" si="54"/>
        <v>13</v>
      </c>
      <c r="I248" s="77">
        <v>13</v>
      </c>
      <c r="J248" s="77"/>
      <c r="K248" s="77"/>
      <c r="L248" s="77"/>
      <c r="M248" s="77"/>
      <c r="N248" s="77"/>
      <c r="O248" s="77">
        <f t="shared" si="43"/>
        <v>13</v>
      </c>
    </row>
    <row r="249" spans="2:15" s="79" customFormat="1" ht="74.25" customHeight="1">
      <c r="B249" s="74"/>
      <c r="C249" s="75" t="s">
        <v>160</v>
      </c>
      <c r="D249" s="157" t="s">
        <v>399</v>
      </c>
      <c r="E249" s="77"/>
      <c r="F249" s="77"/>
      <c r="G249" s="77"/>
      <c r="H249" s="77">
        <f>I249+L249</f>
        <v>22</v>
      </c>
      <c r="I249" s="77">
        <v>22</v>
      </c>
      <c r="J249" s="77"/>
      <c r="K249" s="77"/>
      <c r="L249" s="77"/>
      <c r="M249" s="77"/>
      <c r="N249" s="77"/>
      <c r="O249" s="77">
        <f>E249+H249</f>
        <v>22</v>
      </c>
    </row>
    <row r="250" spans="2:15" s="79" customFormat="1" ht="52.5" customHeight="1">
      <c r="B250" s="74"/>
      <c r="C250" s="75" t="s">
        <v>160</v>
      </c>
      <c r="D250" s="157" t="s">
        <v>400</v>
      </c>
      <c r="E250" s="77"/>
      <c r="F250" s="131"/>
      <c r="G250" s="131"/>
      <c r="H250" s="77">
        <f t="shared" si="54"/>
        <v>7.8</v>
      </c>
      <c r="I250" s="77">
        <v>7.8</v>
      </c>
      <c r="J250" s="77"/>
      <c r="K250" s="77"/>
      <c r="L250" s="77"/>
      <c r="M250" s="77"/>
      <c r="N250" s="77"/>
      <c r="O250" s="77">
        <f t="shared" si="43"/>
        <v>7.8</v>
      </c>
    </row>
    <row r="251" spans="2:15" s="10" customFormat="1" ht="115.5" customHeight="1" hidden="1">
      <c r="B251" s="66"/>
      <c r="C251" s="7" t="s">
        <v>148</v>
      </c>
      <c r="D251" s="87" t="s">
        <v>130</v>
      </c>
      <c r="E251" s="20"/>
      <c r="F251" s="20"/>
      <c r="G251" s="20"/>
      <c r="H251" s="20">
        <f t="shared" si="54"/>
        <v>0</v>
      </c>
      <c r="I251" s="73"/>
      <c r="J251" s="20"/>
      <c r="K251" s="20"/>
      <c r="L251" s="20"/>
      <c r="M251" s="20"/>
      <c r="N251" s="20"/>
      <c r="O251" s="20">
        <f t="shared" si="43"/>
        <v>0</v>
      </c>
    </row>
    <row r="252" spans="2:17" s="149" customFormat="1" ht="55.5" customHeight="1">
      <c r="B252" s="147"/>
      <c r="C252" s="148"/>
      <c r="D252" s="97" t="s">
        <v>442</v>
      </c>
      <c r="E252" s="98">
        <f>E241+E240+E237+E218+E217+E235+E246</f>
        <v>5463.768410000001</v>
      </c>
      <c r="F252" s="98">
        <f aca="true" t="shared" si="60" ref="F252:O252">F241+F240+F237+F218+F217+F235+F246</f>
        <v>3227.2440000000006</v>
      </c>
      <c r="G252" s="98">
        <f t="shared" si="60"/>
        <v>110.56500000000001</v>
      </c>
      <c r="H252" s="98">
        <f t="shared" si="60"/>
        <v>622.558</v>
      </c>
      <c r="I252" s="98">
        <f t="shared" si="60"/>
        <v>292.223</v>
      </c>
      <c r="J252" s="98">
        <f t="shared" si="60"/>
        <v>98</v>
      </c>
      <c r="K252" s="98">
        <f t="shared" si="60"/>
        <v>0</v>
      </c>
      <c r="L252" s="98">
        <f t="shared" si="60"/>
        <v>330.33500000000004</v>
      </c>
      <c r="M252" s="98">
        <f t="shared" si="60"/>
        <v>330.33500000000004</v>
      </c>
      <c r="N252" s="98">
        <f t="shared" si="60"/>
        <v>90.015</v>
      </c>
      <c r="O252" s="98">
        <f t="shared" si="60"/>
        <v>6086.326410000001</v>
      </c>
      <c r="P252" s="150">
        <f>H252+E252</f>
        <v>6086.326410000001</v>
      </c>
      <c r="Q252" s="150">
        <f>P252-5747</f>
        <v>339.3264100000006</v>
      </c>
    </row>
    <row r="253" spans="2:16" s="163" customFormat="1" ht="87" customHeight="1">
      <c r="B253" s="101" t="s">
        <v>497</v>
      </c>
      <c r="C253" s="105"/>
      <c r="D253" s="160" t="s">
        <v>496</v>
      </c>
      <c r="E253" s="161"/>
      <c r="F253" s="161"/>
      <c r="G253" s="161"/>
      <c r="H253" s="161"/>
      <c r="I253" s="161"/>
      <c r="J253" s="161"/>
      <c r="K253" s="161"/>
      <c r="L253" s="161"/>
      <c r="M253" s="161"/>
      <c r="N253" s="161"/>
      <c r="O253" s="161"/>
      <c r="P253" s="162" t="e">
        <f>O253-#REF!</f>
        <v>#REF!</v>
      </c>
    </row>
    <row r="254" spans="2:16" s="10" customFormat="1" ht="87.75" customHeight="1">
      <c r="B254" s="66" t="s">
        <v>498</v>
      </c>
      <c r="C254" s="7"/>
      <c r="D254" s="87" t="s">
        <v>495</v>
      </c>
      <c r="E254" s="20"/>
      <c r="F254" s="20"/>
      <c r="G254" s="20"/>
      <c r="H254" s="20"/>
      <c r="I254" s="20"/>
      <c r="J254" s="20"/>
      <c r="K254" s="20"/>
      <c r="L254" s="20"/>
      <c r="M254" s="20"/>
      <c r="N254" s="20"/>
      <c r="O254" s="20"/>
      <c r="P254" s="44"/>
    </row>
    <row r="255" spans="1:15" s="10" customFormat="1" ht="143.25" customHeight="1">
      <c r="A255" s="10">
        <v>93</v>
      </c>
      <c r="B255" s="89" t="s">
        <v>499</v>
      </c>
      <c r="C255" s="90" t="s">
        <v>43</v>
      </c>
      <c r="D255" s="72" t="s">
        <v>191</v>
      </c>
      <c r="E255" s="71">
        <f>846.4-3.5-4.9+0.5-10.01-5.3</f>
        <v>823.19</v>
      </c>
      <c r="F255" s="71">
        <f>576.24-4.9-13.11-4.8</f>
        <v>553.4300000000001</v>
      </c>
      <c r="G255" s="71">
        <f>13.8+0.5</f>
        <v>14.3</v>
      </c>
      <c r="H255" s="68">
        <f t="shared" si="54"/>
        <v>12.5</v>
      </c>
      <c r="I255" s="71"/>
      <c r="J255" s="71"/>
      <c r="K255" s="71"/>
      <c r="L255" s="71">
        <f>12.5+1.2-1.2</f>
        <v>12.5</v>
      </c>
      <c r="M255" s="71">
        <f>12.5+1.2-1.2</f>
        <v>12.5</v>
      </c>
      <c r="N255" s="71">
        <f>12.5+1.2-1.2</f>
        <v>12.5</v>
      </c>
      <c r="O255" s="69">
        <f>E255+H255</f>
        <v>835.69</v>
      </c>
    </row>
    <row r="256" spans="1:15" s="177" customFormat="1" ht="84.75" customHeight="1">
      <c r="A256" s="177">
        <v>94</v>
      </c>
      <c r="B256" s="178" t="s">
        <v>500</v>
      </c>
      <c r="C256" s="179" t="s">
        <v>220</v>
      </c>
      <c r="D256" s="183" t="s">
        <v>312</v>
      </c>
      <c r="E256" s="181">
        <f>E257</f>
        <v>0.8100000000000023</v>
      </c>
      <c r="F256" s="181">
        <f aca="true" t="shared" si="61" ref="F256:O256">F257</f>
        <v>0</v>
      </c>
      <c r="G256" s="181">
        <f t="shared" si="61"/>
        <v>0</v>
      </c>
      <c r="H256" s="181">
        <f t="shared" si="61"/>
        <v>0</v>
      </c>
      <c r="I256" s="181">
        <f t="shared" si="61"/>
        <v>0</v>
      </c>
      <c r="J256" s="181">
        <f t="shared" si="61"/>
        <v>0</v>
      </c>
      <c r="K256" s="181">
        <f t="shared" si="61"/>
        <v>0</v>
      </c>
      <c r="L256" s="181">
        <f t="shared" si="61"/>
        <v>0</v>
      </c>
      <c r="M256" s="181">
        <f t="shared" si="61"/>
        <v>0</v>
      </c>
      <c r="N256" s="181">
        <f t="shared" si="61"/>
        <v>0</v>
      </c>
      <c r="O256" s="181">
        <f t="shared" si="61"/>
        <v>0.8100000000000023</v>
      </c>
    </row>
    <row r="257" spans="1:15" s="79" customFormat="1" ht="98.25" customHeight="1">
      <c r="A257" s="79">
        <v>94</v>
      </c>
      <c r="B257" s="74" t="s">
        <v>56</v>
      </c>
      <c r="C257" s="75" t="s">
        <v>220</v>
      </c>
      <c r="D257" s="169" t="s">
        <v>125</v>
      </c>
      <c r="E257" s="77">
        <f>40-3.69-28.5-7</f>
        <v>0.8100000000000023</v>
      </c>
      <c r="F257" s="77"/>
      <c r="G257" s="77"/>
      <c r="H257" s="130">
        <f>I257+L257</f>
        <v>0</v>
      </c>
      <c r="I257" s="184"/>
      <c r="J257" s="184"/>
      <c r="K257" s="184"/>
      <c r="L257" s="184"/>
      <c r="M257" s="184"/>
      <c r="N257" s="184"/>
      <c r="O257" s="132">
        <f>E257+H257</f>
        <v>0.8100000000000023</v>
      </c>
    </row>
    <row r="258" spans="1:15" s="10" customFormat="1" ht="67.5" customHeight="1">
      <c r="A258" s="10">
        <v>95</v>
      </c>
      <c r="B258" s="66" t="s">
        <v>415</v>
      </c>
      <c r="C258" s="7" t="s">
        <v>117</v>
      </c>
      <c r="D258" s="82" t="s">
        <v>416</v>
      </c>
      <c r="E258" s="20">
        <f>26-1.3-4.7-1.7-11.6-3.5</f>
        <v>3.200000000000001</v>
      </c>
      <c r="F258" s="20"/>
      <c r="G258" s="20"/>
      <c r="H258" s="20">
        <f t="shared" si="54"/>
        <v>0</v>
      </c>
      <c r="I258" s="73"/>
      <c r="J258" s="20"/>
      <c r="K258" s="20"/>
      <c r="L258" s="20"/>
      <c r="M258" s="20"/>
      <c r="N258" s="20"/>
      <c r="O258" s="20">
        <f>E258+H258</f>
        <v>3.200000000000001</v>
      </c>
    </row>
    <row r="259" spans="1:15" s="10" customFormat="1" ht="54" customHeight="1">
      <c r="A259" s="10">
        <v>96</v>
      </c>
      <c r="B259" s="66" t="s">
        <v>418</v>
      </c>
      <c r="C259" s="7" t="s">
        <v>63</v>
      </c>
      <c r="D259" s="67" t="s">
        <v>417</v>
      </c>
      <c r="E259" s="20">
        <f>247.7+1.3+4.9+1.5</f>
        <v>255.4</v>
      </c>
      <c r="F259" s="20">
        <f>164.85+3.5</f>
        <v>168.35</v>
      </c>
      <c r="G259" s="20">
        <v>6.2</v>
      </c>
      <c r="H259" s="68">
        <f t="shared" si="54"/>
        <v>3.5</v>
      </c>
      <c r="I259" s="19"/>
      <c r="J259" s="20"/>
      <c r="K259" s="20"/>
      <c r="L259" s="20">
        <v>3.5</v>
      </c>
      <c r="M259" s="20">
        <v>3.5</v>
      </c>
      <c r="N259" s="20">
        <v>3.5</v>
      </c>
      <c r="O259" s="69">
        <f>E259+H259</f>
        <v>258.9</v>
      </c>
    </row>
    <row r="260" spans="1:15" s="10" customFormat="1" ht="90.75" customHeight="1">
      <c r="A260" s="10">
        <v>97</v>
      </c>
      <c r="B260" s="66" t="s">
        <v>419</v>
      </c>
      <c r="C260" s="7" t="s">
        <v>102</v>
      </c>
      <c r="D260" s="67" t="s">
        <v>208</v>
      </c>
      <c r="E260" s="20">
        <f>27.5+7-1.7</f>
        <v>32.8</v>
      </c>
      <c r="F260" s="20"/>
      <c r="G260" s="20"/>
      <c r="H260" s="68">
        <f t="shared" si="54"/>
        <v>8</v>
      </c>
      <c r="I260" s="19"/>
      <c r="J260" s="20"/>
      <c r="K260" s="20"/>
      <c r="L260" s="20">
        <f>35.5-14-13.5</f>
        <v>8</v>
      </c>
      <c r="M260" s="20">
        <f>35.5-14-13.5</f>
        <v>8</v>
      </c>
      <c r="N260" s="20">
        <f>35.5-14-13.5</f>
        <v>8</v>
      </c>
      <c r="O260" s="69">
        <f>E260+H260</f>
        <v>40.8</v>
      </c>
    </row>
    <row r="261" spans="2:15" s="126" customFormat="1" ht="90.75" customHeight="1">
      <c r="B261" s="122" t="s">
        <v>95</v>
      </c>
      <c r="C261" s="123" t="s">
        <v>148</v>
      </c>
      <c r="D261" s="151" t="s">
        <v>198</v>
      </c>
      <c r="E261" s="125">
        <f>SUM(E262:E263)</f>
        <v>25</v>
      </c>
      <c r="F261" s="125">
        <f aca="true" t="shared" si="62" ref="F261:O261">SUM(F262:F263)</f>
        <v>0</v>
      </c>
      <c r="G261" s="125">
        <f t="shared" si="62"/>
        <v>0</v>
      </c>
      <c r="H261" s="125">
        <f t="shared" si="62"/>
        <v>52.69</v>
      </c>
      <c r="I261" s="125">
        <f t="shared" si="62"/>
        <v>0</v>
      </c>
      <c r="J261" s="125">
        <f t="shared" si="62"/>
        <v>0</v>
      </c>
      <c r="K261" s="125">
        <f t="shared" si="62"/>
        <v>0</v>
      </c>
      <c r="L261" s="125">
        <f t="shared" si="62"/>
        <v>52.69</v>
      </c>
      <c r="M261" s="125">
        <f t="shared" si="62"/>
        <v>52.69</v>
      </c>
      <c r="N261" s="125">
        <f t="shared" si="62"/>
        <v>38.69</v>
      </c>
      <c r="O261" s="125">
        <f t="shared" si="62"/>
        <v>77.69</v>
      </c>
    </row>
    <row r="262" spans="1:15" s="34" customFormat="1" ht="73.5" customHeight="1">
      <c r="A262" s="79">
        <v>98</v>
      </c>
      <c r="B262" s="74"/>
      <c r="C262" s="75" t="s">
        <v>148</v>
      </c>
      <c r="D262" s="169" t="s">
        <v>199</v>
      </c>
      <c r="E262" s="131">
        <v>25</v>
      </c>
      <c r="F262" s="131"/>
      <c r="G262" s="131"/>
      <c r="H262" s="130">
        <f t="shared" si="54"/>
        <v>38.69</v>
      </c>
      <c r="I262" s="131"/>
      <c r="J262" s="77"/>
      <c r="K262" s="77"/>
      <c r="L262" s="77">
        <f>3.69+35</f>
        <v>38.69</v>
      </c>
      <c r="M262" s="77">
        <f>3.69+35</f>
        <v>38.69</v>
      </c>
      <c r="N262" s="77">
        <f>3.69+35</f>
        <v>38.69</v>
      </c>
      <c r="O262" s="132">
        <f>E262+H262</f>
        <v>63.69</v>
      </c>
    </row>
    <row r="263" spans="2:15" s="34" customFormat="1" ht="72.75" customHeight="1">
      <c r="B263" s="74"/>
      <c r="C263" s="75" t="s">
        <v>18</v>
      </c>
      <c r="D263" s="169" t="s">
        <v>200</v>
      </c>
      <c r="E263" s="131"/>
      <c r="F263" s="131"/>
      <c r="G263" s="131"/>
      <c r="H263" s="130">
        <f t="shared" si="54"/>
        <v>14</v>
      </c>
      <c r="I263" s="131"/>
      <c r="J263" s="77"/>
      <c r="K263" s="77"/>
      <c r="L263" s="77">
        <v>14</v>
      </c>
      <c r="M263" s="77">
        <v>14</v>
      </c>
      <c r="N263" s="77">
        <f>14-14</f>
        <v>0</v>
      </c>
      <c r="O263" s="132">
        <f>E263+H263</f>
        <v>14</v>
      </c>
    </row>
    <row r="264" spans="2:16" s="165" customFormat="1" ht="52.5" customHeight="1">
      <c r="B264" s="147"/>
      <c r="C264" s="148"/>
      <c r="D264" s="164" t="s">
        <v>442</v>
      </c>
      <c r="E264" s="98">
        <f>SUM(E255:E261)-E256</f>
        <v>1140.4</v>
      </c>
      <c r="F264" s="98">
        <f aca="true" t="shared" si="63" ref="F264:N264">SUM(F255:F261)-F256</f>
        <v>721.7800000000001</v>
      </c>
      <c r="G264" s="98">
        <f t="shared" si="63"/>
        <v>20.5</v>
      </c>
      <c r="H264" s="98">
        <f t="shared" si="63"/>
        <v>76.69</v>
      </c>
      <c r="I264" s="98">
        <f t="shared" si="63"/>
        <v>0</v>
      </c>
      <c r="J264" s="98">
        <f t="shared" si="63"/>
        <v>0</v>
      </c>
      <c r="K264" s="98">
        <f t="shared" si="63"/>
        <v>0</v>
      </c>
      <c r="L264" s="98">
        <f t="shared" si="63"/>
        <v>76.69</v>
      </c>
      <c r="M264" s="98">
        <f t="shared" si="63"/>
        <v>76.69</v>
      </c>
      <c r="N264" s="98">
        <f t="shared" si="63"/>
        <v>62.69</v>
      </c>
      <c r="O264" s="98">
        <f>H264+E264</f>
        <v>1217.0900000000001</v>
      </c>
      <c r="P264" s="166">
        <f>E264+H264</f>
        <v>1217.0900000000001</v>
      </c>
    </row>
    <row r="265" spans="2:16" s="163" customFormat="1" ht="48.75" customHeight="1">
      <c r="B265" s="101" t="s">
        <v>501</v>
      </c>
      <c r="C265" s="105"/>
      <c r="D265" s="160" t="s">
        <v>503</v>
      </c>
      <c r="E265" s="161"/>
      <c r="F265" s="161"/>
      <c r="G265" s="161"/>
      <c r="H265" s="161"/>
      <c r="I265" s="161"/>
      <c r="J265" s="161"/>
      <c r="K265" s="161"/>
      <c r="L265" s="161"/>
      <c r="M265" s="161"/>
      <c r="N265" s="161"/>
      <c r="O265" s="161"/>
      <c r="P265" s="162"/>
    </row>
    <row r="266" spans="2:16" s="10" customFormat="1" ht="51.75" customHeight="1">
      <c r="B266" s="66" t="s">
        <v>502</v>
      </c>
      <c r="C266" s="7"/>
      <c r="D266" s="121" t="s">
        <v>504</v>
      </c>
      <c r="E266" s="20"/>
      <c r="F266" s="20"/>
      <c r="G266" s="20"/>
      <c r="H266" s="20"/>
      <c r="I266" s="20"/>
      <c r="J266" s="20"/>
      <c r="K266" s="20"/>
      <c r="L266" s="20"/>
      <c r="M266" s="20"/>
      <c r="N266" s="20"/>
      <c r="O266" s="20"/>
      <c r="P266" s="44"/>
    </row>
    <row r="267" spans="1:15" s="10" customFormat="1" ht="84.75" customHeight="1">
      <c r="A267" s="10">
        <v>99</v>
      </c>
      <c r="B267" s="89" t="s">
        <v>505</v>
      </c>
      <c r="C267" s="90" t="s">
        <v>43</v>
      </c>
      <c r="D267" s="72" t="s">
        <v>192</v>
      </c>
      <c r="E267" s="20">
        <f>388.6+1.25902-4.3</f>
        <v>385.55902000000003</v>
      </c>
      <c r="F267" s="20">
        <f>263.39-3.2</f>
        <v>260.19</v>
      </c>
      <c r="G267" s="20">
        <v>6.1</v>
      </c>
      <c r="H267" s="20">
        <f t="shared" si="54"/>
        <v>0</v>
      </c>
      <c r="I267" s="73"/>
      <c r="J267" s="20"/>
      <c r="K267" s="20"/>
      <c r="L267" s="20"/>
      <c r="M267" s="20"/>
      <c r="N267" s="20"/>
      <c r="O267" s="20">
        <f>E267+H267</f>
        <v>385.55902000000003</v>
      </c>
    </row>
    <row r="268" spans="2:15" s="126" customFormat="1" ht="47.25" customHeight="1" hidden="1">
      <c r="B268" s="122" t="s">
        <v>149</v>
      </c>
      <c r="C268" s="123"/>
      <c r="D268" s="127" t="s">
        <v>151</v>
      </c>
      <c r="E268" s="125">
        <f>E269</f>
        <v>0</v>
      </c>
      <c r="F268" s="125">
        <f aca="true" t="shared" si="64" ref="F268:N268">F269</f>
        <v>0</v>
      </c>
      <c r="G268" s="125">
        <f t="shared" si="64"/>
        <v>0</v>
      </c>
      <c r="H268" s="125">
        <f t="shared" si="64"/>
        <v>0</v>
      </c>
      <c r="I268" s="125">
        <f t="shared" si="64"/>
        <v>0</v>
      </c>
      <c r="J268" s="125">
        <f t="shared" si="64"/>
        <v>0</v>
      </c>
      <c r="K268" s="125">
        <f t="shared" si="64"/>
        <v>0</v>
      </c>
      <c r="L268" s="125">
        <f t="shared" si="64"/>
        <v>0</v>
      </c>
      <c r="M268" s="125">
        <f t="shared" si="64"/>
        <v>0</v>
      </c>
      <c r="N268" s="125">
        <f t="shared" si="64"/>
        <v>0</v>
      </c>
      <c r="O268" s="125">
        <f>O269</f>
        <v>0</v>
      </c>
    </row>
    <row r="269" spans="2:15" s="79" customFormat="1" ht="81.75" customHeight="1" hidden="1">
      <c r="B269" s="74" t="s">
        <v>150</v>
      </c>
      <c r="C269" s="75" t="s">
        <v>135</v>
      </c>
      <c r="D269" s="117" t="s">
        <v>129</v>
      </c>
      <c r="E269" s="77">
        <f>135.012-135.012</f>
        <v>0</v>
      </c>
      <c r="F269" s="77"/>
      <c r="G269" s="77"/>
      <c r="H269" s="77">
        <f t="shared" si="54"/>
        <v>0</v>
      </c>
      <c r="I269" s="78"/>
      <c r="J269" s="77"/>
      <c r="K269" s="77"/>
      <c r="L269" s="77"/>
      <c r="M269" s="77"/>
      <c r="N269" s="77"/>
      <c r="O269" s="77">
        <f>E269+H269</f>
        <v>0</v>
      </c>
    </row>
    <row r="270" spans="2:15" s="10" customFormat="1" ht="104.25" customHeight="1" hidden="1">
      <c r="B270" s="66"/>
      <c r="C270" s="7" t="s">
        <v>135</v>
      </c>
      <c r="D270" s="67" t="s">
        <v>136</v>
      </c>
      <c r="E270" s="20"/>
      <c r="F270" s="20"/>
      <c r="G270" s="20"/>
      <c r="H270" s="20">
        <f t="shared" si="54"/>
        <v>0</v>
      </c>
      <c r="I270" s="73"/>
      <c r="J270" s="20"/>
      <c r="K270" s="20"/>
      <c r="L270" s="20"/>
      <c r="M270" s="20"/>
      <c r="N270" s="20"/>
      <c r="O270" s="20">
        <f>E270+H270</f>
        <v>0</v>
      </c>
    </row>
    <row r="271" spans="1:15" s="126" customFormat="1" ht="53.25" customHeight="1">
      <c r="A271" s="126">
        <v>100</v>
      </c>
      <c r="B271" s="122" t="s">
        <v>420</v>
      </c>
      <c r="C271" s="123" t="s">
        <v>117</v>
      </c>
      <c r="D271" s="127" t="s">
        <v>401</v>
      </c>
      <c r="E271" s="125">
        <f>SUM(E272:E273)</f>
        <v>0.8340000000000001</v>
      </c>
      <c r="F271" s="125">
        <f aca="true" t="shared" si="65" ref="F271:O271">SUM(F272:F273)</f>
        <v>0</v>
      </c>
      <c r="G271" s="125">
        <f t="shared" si="65"/>
        <v>0</v>
      </c>
      <c r="H271" s="125">
        <f t="shared" si="65"/>
        <v>0</v>
      </c>
      <c r="I271" s="125">
        <f t="shared" si="65"/>
        <v>0</v>
      </c>
      <c r="J271" s="125">
        <f t="shared" si="65"/>
        <v>0</v>
      </c>
      <c r="K271" s="125">
        <f t="shared" si="65"/>
        <v>0</v>
      </c>
      <c r="L271" s="125">
        <f t="shared" si="65"/>
        <v>0</v>
      </c>
      <c r="M271" s="125">
        <f t="shared" si="65"/>
        <v>0</v>
      </c>
      <c r="N271" s="125">
        <f t="shared" si="65"/>
        <v>0</v>
      </c>
      <c r="O271" s="125">
        <f t="shared" si="65"/>
        <v>0.8340000000000001</v>
      </c>
    </row>
    <row r="272" spans="2:15" s="10" customFormat="1" ht="45.75" customHeight="1">
      <c r="B272" s="66"/>
      <c r="C272" s="7" t="s">
        <v>117</v>
      </c>
      <c r="D272" s="67" t="s">
        <v>402</v>
      </c>
      <c r="E272" s="20">
        <f>4-3.6</f>
        <v>0.3999999999999999</v>
      </c>
      <c r="F272" s="20"/>
      <c r="G272" s="20"/>
      <c r="H272" s="20">
        <f t="shared" si="54"/>
        <v>0</v>
      </c>
      <c r="I272" s="73"/>
      <c r="J272" s="20"/>
      <c r="K272" s="20"/>
      <c r="L272" s="20"/>
      <c r="M272" s="20"/>
      <c r="N272" s="20"/>
      <c r="O272" s="20">
        <f>E272+H272</f>
        <v>0.3999999999999999</v>
      </c>
    </row>
    <row r="273" spans="2:15" s="10" customFormat="1" ht="83.25" customHeight="1">
      <c r="B273" s="66"/>
      <c r="C273" s="7" t="s">
        <v>117</v>
      </c>
      <c r="D273" s="82" t="s">
        <v>403</v>
      </c>
      <c r="E273" s="20">
        <f>2+0.434-2</f>
        <v>0.43400000000000016</v>
      </c>
      <c r="F273" s="20"/>
      <c r="G273" s="20"/>
      <c r="H273" s="20">
        <f t="shared" si="54"/>
        <v>0</v>
      </c>
      <c r="I273" s="73"/>
      <c r="J273" s="20"/>
      <c r="K273" s="20"/>
      <c r="L273" s="20"/>
      <c r="M273" s="20"/>
      <c r="N273" s="20"/>
      <c r="O273" s="20">
        <f>E273+H273</f>
        <v>0.43400000000000016</v>
      </c>
    </row>
    <row r="274" spans="2:15" s="126" customFormat="1" ht="51.75" customHeight="1">
      <c r="B274" s="122" t="s">
        <v>293</v>
      </c>
      <c r="C274" s="123"/>
      <c r="D274" s="151" t="s">
        <v>294</v>
      </c>
      <c r="E274" s="125">
        <f>E275</f>
        <v>135.012</v>
      </c>
      <c r="F274" s="125">
        <f aca="true" t="shared" si="66" ref="F274:O274">F275</f>
        <v>0</v>
      </c>
      <c r="G274" s="125">
        <f t="shared" si="66"/>
        <v>0</v>
      </c>
      <c r="H274" s="125">
        <f t="shared" si="66"/>
        <v>0</v>
      </c>
      <c r="I274" s="125">
        <f t="shared" si="66"/>
        <v>0</v>
      </c>
      <c r="J274" s="125">
        <f t="shared" si="66"/>
        <v>0</v>
      </c>
      <c r="K274" s="125">
        <f t="shared" si="66"/>
        <v>0</v>
      </c>
      <c r="L274" s="125">
        <f t="shared" si="66"/>
        <v>0</v>
      </c>
      <c r="M274" s="125">
        <f t="shared" si="66"/>
        <v>0</v>
      </c>
      <c r="N274" s="125">
        <f t="shared" si="66"/>
        <v>0</v>
      </c>
      <c r="O274" s="125">
        <f t="shared" si="66"/>
        <v>135.012</v>
      </c>
    </row>
    <row r="275" spans="1:15" s="10" customFormat="1" ht="123" customHeight="1">
      <c r="A275" s="10">
        <v>101</v>
      </c>
      <c r="B275" s="74" t="s">
        <v>295</v>
      </c>
      <c r="C275" s="75" t="s">
        <v>251</v>
      </c>
      <c r="D275" s="169" t="s">
        <v>252</v>
      </c>
      <c r="E275" s="77">
        <v>135.012</v>
      </c>
      <c r="F275" s="77"/>
      <c r="G275" s="77"/>
      <c r="H275" s="77">
        <f t="shared" si="54"/>
        <v>0</v>
      </c>
      <c r="I275" s="78"/>
      <c r="J275" s="77"/>
      <c r="K275" s="77"/>
      <c r="L275" s="77"/>
      <c r="M275" s="77"/>
      <c r="N275" s="77"/>
      <c r="O275" s="77">
        <f>E275+H275</f>
        <v>135.012</v>
      </c>
    </row>
    <row r="276" spans="2:16" s="149" customFormat="1" ht="48.75" customHeight="1">
      <c r="B276" s="147"/>
      <c r="C276" s="148"/>
      <c r="D276" s="164" t="s">
        <v>442</v>
      </c>
      <c r="E276" s="98">
        <f>E267+E271+E274</f>
        <v>521.40502</v>
      </c>
      <c r="F276" s="98">
        <f aca="true" t="shared" si="67" ref="F276:O276">F267+F271+F274</f>
        <v>260.19</v>
      </c>
      <c r="G276" s="98">
        <f t="shared" si="67"/>
        <v>6.1</v>
      </c>
      <c r="H276" s="98">
        <f t="shared" si="67"/>
        <v>0</v>
      </c>
      <c r="I276" s="98">
        <f t="shared" si="67"/>
        <v>0</v>
      </c>
      <c r="J276" s="98">
        <f t="shared" si="67"/>
        <v>0</v>
      </c>
      <c r="K276" s="98">
        <f t="shared" si="67"/>
        <v>0</v>
      </c>
      <c r="L276" s="98">
        <f t="shared" si="67"/>
        <v>0</v>
      </c>
      <c r="M276" s="98">
        <f t="shared" si="67"/>
        <v>0</v>
      </c>
      <c r="N276" s="98">
        <f t="shared" si="67"/>
        <v>0</v>
      </c>
      <c r="O276" s="98">
        <f t="shared" si="67"/>
        <v>521.40502</v>
      </c>
      <c r="P276" s="150">
        <f>E276+H276</f>
        <v>521.40502</v>
      </c>
    </row>
    <row r="277" spans="2:16" s="163" customFormat="1" ht="56.25" customHeight="1">
      <c r="B277" s="101" t="s">
        <v>506</v>
      </c>
      <c r="C277" s="105"/>
      <c r="D277" s="160" t="s">
        <v>507</v>
      </c>
      <c r="E277" s="161"/>
      <c r="F277" s="161"/>
      <c r="G277" s="161"/>
      <c r="H277" s="161"/>
      <c r="I277" s="161"/>
      <c r="J277" s="161"/>
      <c r="K277" s="161"/>
      <c r="L277" s="161"/>
      <c r="M277" s="161"/>
      <c r="N277" s="161"/>
      <c r="O277" s="161"/>
      <c r="P277" s="162" t="e">
        <f>O277-#REF!</f>
        <v>#REF!</v>
      </c>
    </row>
    <row r="278" spans="2:16" s="10" customFormat="1" ht="47.25" customHeight="1">
      <c r="B278" s="64" t="s">
        <v>509</v>
      </c>
      <c r="C278" s="107"/>
      <c r="D278" s="121" t="s">
        <v>508</v>
      </c>
      <c r="E278" s="20"/>
      <c r="F278" s="20"/>
      <c r="G278" s="20"/>
      <c r="H278" s="20"/>
      <c r="I278" s="20"/>
      <c r="J278" s="20"/>
      <c r="K278" s="20"/>
      <c r="L278" s="20"/>
      <c r="M278" s="20"/>
      <c r="N278" s="20"/>
      <c r="O278" s="20"/>
      <c r="P278" s="44"/>
    </row>
    <row r="279" spans="2:16" s="126" customFormat="1" ht="47.25" customHeight="1">
      <c r="B279" s="122" t="s">
        <v>510</v>
      </c>
      <c r="C279" s="123"/>
      <c r="D279" s="124" t="s">
        <v>511</v>
      </c>
      <c r="E279" s="125">
        <f>E280</f>
        <v>618.3910000000001</v>
      </c>
      <c r="F279" s="125">
        <f aca="true" t="shared" si="68" ref="F279:N279">F280</f>
        <v>405.44072</v>
      </c>
      <c r="G279" s="125">
        <f t="shared" si="68"/>
        <v>8.899999999999999</v>
      </c>
      <c r="H279" s="125">
        <f t="shared" si="68"/>
        <v>286.82149</v>
      </c>
      <c r="I279" s="125">
        <f t="shared" si="68"/>
        <v>0</v>
      </c>
      <c r="J279" s="125">
        <f t="shared" si="68"/>
        <v>0</v>
      </c>
      <c r="K279" s="125">
        <f t="shared" si="68"/>
        <v>0</v>
      </c>
      <c r="L279" s="125">
        <f t="shared" si="68"/>
        <v>286.82149</v>
      </c>
      <c r="M279" s="125">
        <f t="shared" si="68"/>
        <v>286.82149</v>
      </c>
      <c r="N279" s="125">
        <f t="shared" si="68"/>
        <v>63.32149</v>
      </c>
      <c r="O279" s="125">
        <f>O280</f>
        <v>905.2124900000001</v>
      </c>
      <c r="P279" s="144"/>
    </row>
    <row r="280" spans="1:16" s="79" customFormat="1" ht="66" customHeight="1">
      <c r="A280" s="79">
        <v>102</v>
      </c>
      <c r="B280" s="74" t="s">
        <v>421</v>
      </c>
      <c r="C280" s="75" t="s">
        <v>224</v>
      </c>
      <c r="D280" s="117" t="s">
        <v>396</v>
      </c>
      <c r="E280" s="77">
        <f>SUM(E281:E282)</f>
        <v>618.3910000000001</v>
      </c>
      <c r="F280" s="77">
        <f>SUM(F281:F282)</f>
        <v>405.44072</v>
      </c>
      <c r="G280" s="77">
        <f>SUM(G281:G282)</f>
        <v>8.899999999999999</v>
      </c>
      <c r="H280" s="130">
        <f>I280+L280</f>
        <v>286.82149</v>
      </c>
      <c r="I280" s="131"/>
      <c r="J280" s="131"/>
      <c r="K280" s="131"/>
      <c r="L280" s="77">
        <f>SUM(L281:L282)</f>
        <v>286.82149</v>
      </c>
      <c r="M280" s="77">
        <f>SUM(M281:M282)</f>
        <v>286.82149</v>
      </c>
      <c r="N280" s="77">
        <f>SUM(N281:N282)</f>
        <v>63.32149</v>
      </c>
      <c r="O280" s="77">
        <f>H280+E280</f>
        <v>905.2124900000001</v>
      </c>
      <c r="P280" s="167"/>
    </row>
    <row r="281" spans="2:16" s="79" customFormat="1" ht="28.5" customHeight="1">
      <c r="B281" s="74"/>
      <c r="C281" s="75"/>
      <c r="D281" s="117" t="s">
        <v>362</v>
      </c>
      <c r="E281" s="77">
        <f>287.3</f>
        <v>287.3</v>
      </c>
      <c r="F281" s="77">
        <f>184.731-0.74031</f>
        <v>183.99069</v>
      </c>
      <c r="G281" s="77">
        <f>4.6+0.72+3.58</f>
        <v>8.899999999999999</v>
      </c>
      <c r="H281" s="130">
        <f>I281+L281</f>
        <v>63.32149</v>
      </c>
      <c r="I281" s="131"/>
      <c r="J281" s="131"/>
      <c r="K281" s="131"/>
      <c r="L281" s="77">
        <f>63.32149</f>
        <v>63.32149</v>
      </c>
      <c r="M281" s="77">
        <f>63.32149</f>
        <v>63.32149</v>
      </c>
      <c r="N281" s="77">
        <v>63.32149</v>
      </c>
      <c r="O281" s="77">
        <f>H281+E281</f>
        <v>350.62149</v>
      </c>
      <c r="P281" s="167"/>
    </row>
    <row r="282" spans="2:16" s="79" customFormat="1" ht="25.5" customHeight="1">
      <c r="B282" s="74"/>
      <c r="C282" s="75"/>
      <c r="D282" s="117" t="s">
        <v>395</v>
      </c>
      <c r="E282" s="77">
        <f>331.091</f>
        <v>331.091</v>
      </c>
      <c r="F282" s="77">
        <f>224.969-3.51897</f>
        <v>221.45003</v>
      </c>
      <c r="G282" s="77"/>
      <c r="H282" s="130"/>
      <c r="I282" s="131"/>
      <c r="J282" s="131"/>
      <c r="K282" s="131"/>
      <c r="L282" s="77">
        <f>153.5+70</f>
        <v>223.5</v>
      </c>
      <c r="M282" s="77">
        <f>153.5+70</f>
        <v>223.5</v>
      </c>
      <c r="N282" s="77"/>
      <c r="O282" s="77">
        <f>H282+E282</f>
        <v>331.091</v>
      </c>
      <c r="P282" s="167"/>
    </row>
    <row r="283" spans="1:16" s="10" customFormat="1" ht="114" customHeight="1">
      <c r="A283" s="10">
        <v>103</v>
      </c>
      <c r="B283" s="74" t="s">
        <v>4</v>
      </c>
      <c r="C283" s="75" t="s">
        <v>148</v>
      </c>
      <c r="D283" s="67" t="s">
        <v>5</v>
      </c>
      <c r="E283" s="20">
        <f>19-4+4.7</f>
        <v>19.7</v>
      </c>
      <c r="F283" s="20"/>
      <c r="G283" s="20"/>
      <c r="H283" s="68">
        <f>I283+L283</f>
        <v>0</v>
      </c>
      <c r="I283" s="19"/>
      <c r="J283" s="19"/>
      <c r="K283" s="19"/>
      <c r="L283" s="19"/>
      <c r="M283" s="19"/>
      <c r="N283" s="19"/>
      <c r="O283" s="69">
        <f>E283+H283</f>
        <v>19.7</v>
      </c>
      <c r="P283" s="44"/>
    </row>
    <row r="284" spans="1:15" s="177" customFormat="1" ht="72" customHeight="1">
      <c r="A284" s="177">
        <v>104</v>
      </c>
      <c r="B284" s="178" t="s">
        <v>422</v>
      </c>
      <c r="C284" s="179" t="s">
        <v>117</v>
      </c>
      <c r="D284" s="185" t="s">
        <v>179</v>
      </c>
      <c r="E284" s="181">
        <f>5+0.48</f>
        <v>5.48</v>
      </c>
      <c r="F284" s="181"/>
      <c r="G284" s="181"/>
      <c r="H284" s="181">
        <f>I284+L284</f>
        <v>0</v>
      </c>
      <c r="I284" s="182"/>
      <c r="J284" s="181"/>
      <c r="K284" s="181"/>
      <c r="L284" s="181"/>
      <c r="M284" s="181"/>
      <c r="N284" s="181"/>
      <c r="O284" s="181">
        <f>E284+H284</f>
        <v>5.48</v>
      </c>
    </row>
    <row r="285" spans="2:15" s="149" customFormat="1" ht="51" customHeight="1">
      <c r="B285" s="147"/>
      <c r="C285" s="148"/>
      <c r="D285" s="159" t="s">
        <v>442</v>
      </c>
      <c r="E285" s="98">
        <f>E279+E284+E283</f>
        <v>643.5710000000001</v>
      </c>
      <c r="F285" s="98">
        <f aca="true" t="shared" si="69" ref="F285:N285">F279+F284</f>
        <v>405.44072</v>
      </c>
      <c r="G285" s="98">
        <f t="shared" si="69"/>
        <v>8.899999999999999</v>
      </c>
      <c r="H285" s="98">
        <f>H279+H284</f>
        <v>286.82149</v>
      </c>
      <c r="I285" s="98">
        <f t="shared" si="69"/>
        <v>0</v>
      </c>
      <c r="J285" s="98">
        <f t="shared" si="69"/>
        <v>0</v>
      </c>
      <c r="K285" s="98">
        <f t="shared" si="69"/>
        <v>0</v>
      </c>
      <c r="L285" s="98">
        <f t="shared" si="69"/>
        <v>286.82149</v>
      </c>
      <c r="M285" s="98">
        <f t="shared" si="69"/>
        <v>286.82149</v>
      </c>
      <c r="N285" s="98">
        <f t="shared" si="69"/>
        <v>63.32149</v>
      </c>
      <c r="O285" s="98">
        <f>O279+O284+O283</f>
        <v>930.3924900000002</v>
      </c>
    </row>
    <row r="286" spans="2:17" s="137" customFormat="1" ht="33" customHeight="1">
      <c r="B286" s="101"/>
      <c r="C286" s="105"/>
      <c r="D286" s="106" t="s">
        <v>65</v>
      </c>
      <c r="E286" s="161">
        <f aca="true" t="shared" si="70" ref="E286:O286">E285+E276+E264+E252+E214+E206+E152+E67+E40</f>
        <v>166510.10332999998</v>
      </c>
      <c r="F286" s="161">
        <f>F285+F276+F264+F252+F214+F206+F152+F67+F40</f>
        <v>46722.89835999999</v>
      </c>
      <c r="G286" s="161">
        <f>G285+G276+G264+G252+G214+G206+G152+G67+G40</f>
        <v>5759.02314</v>
      </c>
      <c r="H286" s="161">
        <f>H285+H276+H264+H252+H214+H206+H152+H67+H40</f>
        <v>30407.669980000002</v>
      </c>
      <c r="I286" s="161">
        <f t="shared" si="70"/>
        <v>12937.99366</v>
      </c>
      <c r="J286" s="161">
        <f t="shared" si="70"/>
        <v>502.04200000000003</v>
      </c>
      <c r="K286" s="161">
        <f t="shared" si="70"/>
        <v>46.656000000000006</v>
      </c>
      <c r="L286" s="161">
        <f t="shared" si="70"/>
        <v>17469.676320000002</v>
      </c>
      <c r="M286" s="161">
        <f t="shared" si="70"/>
        <v>10215.25851</v>
      </c>
      <c r="N286" s="161">
        <f>N285+N276+N264+N252+N214+N206+N152+N67+N40</f>
        <v>3687.2912199999996</v>
      </c>
      <c r="O286" s="161">
        <f>O285+O276+O264+O252+O214+O206+O152+O67+O40</f>
        <v>196917.77331</v>
      </c>
      <c r="P286" s="158">
        <f>E286+H286</f>
        <v>196917.77331</v>
      </c>
      <c r="Q286" s="158">
        <f>O286-P286</f>
        <v>0</v>
      </c>
    </row>
    <row r="287" spans="2:17" ht="49.5" customHeight="1">
      <c r="B287" s="66"/>
      <c r="C287" s="7"/>
      <c r="D287" s="67" t="s">
        <v>213</v>
      </c>
      <c r="E287" s="20">
        <f>E70</f>
        <v>33381.946</v>
      </c>
      <c r="F287" s="20">
        <f>F70</f>
        <v>0</v>
      </c>
      <c r="G287" s="20">
        <f>G70</f>
        <v>0</v>
      </c>
      <c r="H287" s="20">
        <f>I287+L287</f>
        <v>16179.620490000003</v>
      </c>
      <c r="I287" s="20">
        <f>I186+I213+I49+I112+I168+I176+I188+I53+I161+I211+I187+I245+I244</f>
        <v>8760.381390000002</v>
      </c>
      <c r="J287" s="20">
        <f>J186+J213+J49+J112+J168+J176+J188+J53+J161</f>
        <v>0</v>
      </c>
      <c r="K287" s="20">
        <f>K186+K213+K49+K112+K168+K176+K188+K53+K161</f>
        <v>0</v>
      </c>
      <c r="L287" s="20">
        <f>L186+L213+L49+L112+L168+L176+L188+L53+L161+L187+L182+L181+L175+L162+L62</f>
        <v>7419.239100000001</v>
      </c>
      <c r="M287" s="20">
        <f>M186+M213+M49+M112+M168+M176+M188+M53+M161+M187+M182+M181+M175+M162+M62</f>
        <v>606.35</v>
      </c>
      <c r="N287" s="20">
        <f>N186+N213+N49+N112+N168+N176+N188+N53+N161+N187+N182+N181+N175+N162+N62</f>
        <v>606.35</v>
      </c>
      <c r="O287" s="20">
        <f>E287+H287</f>
        <v>49561.566490000005</v>
      </c>
      <c r="P287" s="23" t="e">
        <f>O287-#REF!</f>
        <v>#REF!</v>
      </c>
      <c r="Q287" s="23" t="e">
        <f>P287-340.5</f>
        <v>#REF!</v>
      </c>
    </row>
    <row r="288" spans="5:15" ht="18.75">
      <c r="E288" s="18"/>
      <c r="F288" s="18"/>
      <c r="G288" s="18"/>
      <c r="H288" s="18"/>
      <c r="I288" s="35"/>
      <c r="J288" s="18"/>
      <c r="K288" s="18"/>
      <c r="L288" s="18"/>
      <c r="M288" s="18"/>
      <c r="N288" s="18"/>
      <c r="O288" s="18"/>
    </row>
    <row r="289" spans="2:15" s="17" customFormat="1" ht="12.75" customHeight="1" hidden="1">
      <c r="B289" s="54"/>
      <c r="C289" s="55"/>
      <c r="D289" s="36"/>
      <c r="E289" s="37"/>
      <c r="F289" s="38"/>
      <c r="G289" s="38"/>
      <c r="H289" s="38"/>
      <c r="I289" s="38"/>
      <c r="J289" s="38"/>
      <c r="K289" s="38"/>
      <c r="L289" s="38"/>
      <c r="M289" s="38"/>
      <c r="N289" s="38"/>
      <c r="O289" s="39"/>
    </row>
    <row r="290" spans="2:15" s="17" customFormat="1" ht="13.5" customHeight="1">
      <c r="B290" s="54"/>
      <c r="C290" s="56"/>
      <c r="D290" s="11"/>
      <c r="E290" s="21"/>
      <c r="F290" s="21"/>
      <c r="G290" s="21"/>
      <c r="H290" s="21"/>
      <c r="I290" s="40"/>
      <c r="J290" s="21"/>
      <c r="K290" s="21"/>
      <c r="L290" s="21"/>
      <c r="M290" s="21"/>
      <c r="N290" s="21"/>
      <c r="O290" s="21"/>
    </row>
    <row r="291" spans="2:15" s="13" customFormat="1" ht="25.5" customHeight="1">
      <c r="B291" s="50"/>
      <c r="C291" s="57" t="s">
        <v>141</v>
      </c>
      <c r="D291" s="15"/>
      <c r="E291" s="22"/>
      <c r="F291" s="22"/>
      <c r="G291" s="22"/>
      <c r="H291" s="22"/>
      <c r="I291" s="35"/>
      <c r="J291" s="22"/>
      <c r="K291" s="22"/>
      <c r="L291" s="22"/>
      <c r="M291" s="22"/>
      <c r="N291" s="188" t="s">
        <v>132</v>
      </c>
      <c r="O291" s="188"/>
    </row>
    <row r="292" spans="2:15" s="43" customFormat="1" ht="20.25">
      <c r="B292" s="51"/>
      <c r="C292" s="58"/>
      <c r="D292" s="41"/>
      <c r="E292" s="19"/>
      <c r="F292" s="19"/>
      <c r="G292" s="24"/>
      <c r="H292" s="19"/>
      <c r="I292" s="20"/>
      <c r="J292" s="24"/>
      <c r="K292" s="24"/>
      <c r="L292" s="24"/>
      <c r="M292" s="19"/>
      <c r="N292" s="42"/>
      <c r="O292" s="20"/>
    </row>
    <row r="293" spans="5:15" ht="18.75">
      <c r="E293" s="18"/>
      <c r="F293" s="18">
        <v>46722.74236</v>
      </c>
      <c r="G293" s="18">
        <v>5759.02314</v>
      </c>
      <c r="H293" s="18">
        <v>30407.66998</v>
      </c>
      <c r="I293" s="18"/>
      <c r="J293" s="18"/>
      <c r="K293" s="18"/>
      <c r="L293" s="18"/>
      <c r="M293" s="18"/>
      <c r="N293" s="18">
        <v>5093.21482</v>
      </c>
      <c r="O293" s="18"/>
    </row>
    <row r="294" spans="2:15" s="10" customFormat="1" ht="18.75">
      <c r="B294" s="51"/>
      <c r="C294" s="1"/>
      <c r="D294" s="2"/>
      <c r="E294" s="25">
        <v>166350.67</v>
      </c>
      <c r="F294" s="187">
        <f>F286-F293</f>
        <v>0.1559999999954016</v>
      </c>
      <c r="G294" s="187">
        <f>G286-G293</f>
        <v>0</v>
      </c>
      <c r="H294" s="187">
        <f>H286-H293</f>
        <v>0</v>
      </c>
      <c r="I294" s="26">
        <f aca="true" t="shared" si="71" ref="I294:N294">I286-I293</f>
        <v>12937.99366</v>
      </c>
      <c r="J294" s="26">
        <f t="shared" si="71"/>
        <v>502.04200000000003</v>
      </c>
      <c r="K294" s="26">
        <f t="shared" si="71"/>
        <v>46.656000000000006</v>
      </c>
      <c r="L294" s="26">
        <f t="shared" si="71"/>
        <v>17469.676320000002</v>
      </c>
      <c r="M294" s="26">
        <f t="shared" si="71"/>
        <v>10215.25851</v>
      </c>
      <c r="N294" s="26">
        <f t="shared" si="71"/>
        <v>-1405.9236000000005</v>
      </c>
      <c r="O294" s="18"/>
    </row>
    <row r="295" spans="2:15" s="10" customFormat="1" ht="18.75">
      <c r="B295" s="51"/>
      <c r="C295" s="7"/>
      <c r="D295" s="5"/>
      <c r="E295" s="18">
        <f>E286-E294</f>
        <v>159.43332999997074</v>
      </c>
      <c r="F295" s="18"/>
      <c r="G295" s="18"/>
      <c r="H295" s="18">
        <f>64+247.35</f>
        <v>311.35</v>
      </c>
      <c r="I295" s="18"/>
      <c r="J295" s="18"/>
      <c r="K295" s="18"/>
      <c r="L295" s="18"/>
      <c r="M295" s="18" t="e">
        <f>M294-#REF!</f>
        <v>#REF!</v>
      </c>
      <c r="N295" s="18" t="e">
        <f>N294-#REF!</f>
        <v>#REF!</v>
      </c>
      <c r="O295" s="20"/>
    </row>
    <row r="296" spans="2:15" s="10" customFormat="1" ht="18.75">
      <c r="B296" s="51"/>
      <c r="C296" s="3"/>
      <c r="D296" s="2"/>
      <c r="E296" s="20">
        <v>752.80864</v>
      </c>
      <c r="F296" s="20"/>
      <c r="G296" s="20"/>
      <c r="H296" s="18">
        <f>H294-H295</f>
        <v>-311.35</v>
      </c>
      <c r="I296" s="39"/>
      <c r="J296" s="18"/>
      <c r="K296" s="18"/>
      <c r="L296" s="18"/>
      <c r="M296" s="18"/>
      <c r="N296" s="18"/>
      <c r="O296" s="44"/>
    </row>
    <row r="297" spans="3:14" ht="18.75">
      <c r="C297" s="3"/>
      <c r="D297" s="6"/>
      <c r="E297" s="8">
        <f>E295-E296</f>
        <v>-593.3753100000292</v>
      </c>
      <c r="F297" s="9"/>
      <c r="G297" s="8"/>
      <c r="H297" s="8"/>
      <c r="I297" s="45"/>
      <c r="J297" s="8"/>
      <c r="K297" s="8"/>
      <c r="L297" s="8"/>
      <c r="M297" s="8"/>
      <c r="N297" s="8"/>
    </row>
    <row r="298" spans="3:14" ht="18.75">
      <c r="C298" s="3"/>
      <c r="D298" s="6"/>
      <c r="E298" s="8"/>
      <c r="F298" s="9"/>
      <c r="G298" s="8"/>
      <c r="H298" s="8"/>
      <c r="I298" s="45"/>
      <c r="J298" s="8"/>
      <c r="K298" s="8"/>
      <c r="L298" s="8"/>
      <c r="M298" s="8"/>
      <c r="N298" s="8"/>
    </row>
    <row r="300" spans="5:14" ht="18.75">
      <c r="E300" s="8">
        <f>E287-33841.72</f>
        <v>-459.7739999999976</v>
      </c>
      <c r="F300" s="8"/>
      <c r="G300" s="8"/>
      <c r="H300" s="8"/>
      <c r="I300" s="47"/>
      <c r="J300" s="8"/>
      <c r="K300" s="8"/>
      <c r="L300" s="8"/>
      <c r="M300" s="8"/>
      <c r="N300" s="8"/>
    </row>
    <row r="302" spans="5:14" ht="18.75">
      <c r="E302" s="8"/>
      <c r="F302" s="8"/>
      <c r="G302" s="8"/>
      <c r="H302" s="8"/>
      <c r="I302" s="48"/>
      <c r="J302" s="8"/>
      <c r="K302" s="8"/>
      <c r="L302" s="8"/>
      <c r="M302" s="8"/>
      <c r="N302" s="8"/>
    </row>
    <row r="304" ht="18.75">
      <c r="E304" s="6"/>
    </row>
    <row r="305" ht="18.75">
      <c r="E305" s="6"/>
    </row>
  </sheetData>
  <sheetProtection/>
  <mergeCells count="33">
    <mergeCell ref="L1:N1"/>
    <mergeCell ref="C4:O4"/>
    <mergeCell ref="C5:O5"/>
    <mergeCell ref="M6:O6"/>
    <mergeCell ref="O7:O10"/>
    <mergeCell ref="J8:K8"/>
    <mergeCell ref="L8:L10"/>
    <mergeCell ref="E7:G7"/>
    <mergeCell ref="E8:E10"/>
    <mergeCell ref="F8:G8"/>
    <mergeCell ref="J9:J10"/>
    <mergeCell ref="K9:K10"/>
    <mergeCell ref="M9:M10"/>
    <mergeCell ref="I75:I76"/>
    <mergeCell ref="H8:H10"/>
    <mergeCell ref="I8:I10"/>
    <mergeCell ref="B7:B10"/>
    <mergeCell ref="C7:C10"/>
    <mergeCell ref="D7:D10"/>
    <mergeCell ref="H7:N7"/>
    <mergeCell ref="M8:N8"/>
    <mergeCell ref="F9:F10"/>
    <mergeCell ref="G9:G10"/>
    <mergeCell ref="N291:O291"/>
    <mergeCell ref="L75:L76"/>
    <mergeCell ref="E75:E76"/>
    <mergeCell ref="F75:F76"/>
    <mergeCell ref="G75:G76"/>
    <mergeCell ref="J75:J76"/>
    <mergeCell ref="K75:K76"/>
    <mergeCell ref="M75:M76"/>
    <mergeCell ref="O75:O76"/>
    <mergeCell ref="H75:H76"/>
  </mergeCells>
  <conditionalFormatting sqref="O262:O263 H257:O257 O283 H224:H225 O109:O112 H198 O198 H183 O183 O224:O225 H262:H263 O163 O156 O158:O160 O35:O36 O165:O169 H110:H112 O137:O151 O15:O16 I155:O155 I56:L59 O50 H125:H134 O125:O134 M56:N58 M59 I55:N55 E16:N16 H36 H50 H23 O23 O178 H15 I48:N50 H137:H138 H140:H151 H220:H222 O220:O222 O33 H166:H170 O259:O260 H259:H260 H159:H163 O172:O176 H172:H178 H243:H245 O243:O245 E209:O211 E255:O255 E155:G155 E44:O44 E217:O217 I52:N52 H280:H283">
    <cfRule type="cellIs" priority="9" dxfId="0" operator="equal" stopIfTrue="1">
      <formula>0</formula>
    </cfRule>
  </conditionalFormatting>
  <printOptions/>
  <pageMargins left="0.35433070866141736" right="0.31496062992125984" top="0.984251968503937" bottom="0.5118110236220472" header="0.5118110236220472" footer="0.5118110236220472"/>
  <pageSetup blackAndWhite="1" fitToHeight="19" horizontalDpi="600" verticalDpi="600" orientation="landscape" paperSize="9" scale="44" r:id="rId1"/>
  <rowBreaks count="9" manualBreakCount="9">
    <brk id="67" min="1" max="14" man="1"/>
    <brk id="108" min="1" max="14" man="1"/>
    <brk id="117" min="1" max="14" man="1"/>
    <brk id="139" min="1" max="14" man="1"/>
    <brk id="234" min="1" max="14" man="1"/>
    <brk id="252" min="1" max="14" man="1"/>
    <brk id="264" min="1" max="14" man="1"/>
    <brk id="281" min="1" max="14" man="1"/>
    <brk id="292"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Admin</cp:lastModifiedBy>
  <cp:lastPrinted>2013-11-29T07:00:04Z</cp:lastPrinted>
  <dcterms:created xsi:type="dcterms:W3CDTF">2002-12-16T07:25:53Z</dcterms:created>
  <dcterms:modified xsi:type="dcterms:W3CDTF">2013-11-29T07:00:05Z</dcterms:modified>
  <cp:category/>
  <cp:version/>
  <cp:contentType/>
  <cp:contentStatus/>
</cp:coreProperties>
</file>